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wsponlinenam.sharepoint.com/sites/US-EMGERGINGTECHDEPT/Shared Documents/General/02 - Fleet technology (AK)/03 - Projects/01 Active/CapMetro YARD Phase I/03 PRI/04 Testing/"/>
    </mc:Choice>
  </mc:AlternateContent>
  <xr:revisionPtr revIDLastSave="12" documentId="13_ncr:1_{7FDA3447-7BF7-48EF-97EB-81BAF8D27DED}" xr6:coauthVersionLast="47" xr6:coauthVersionMax="47" xr10:uidLastSave="{3D0770B6-7900-45FC-9C09-FBE0AADA78C3}"/>
  <bookViews>
    <workbookView xWindow="11712" yWindow="288" windowWidth="20280" windowHeight="11424" tabRatio="554" activeTab="1" xr2:uid="{00000000-000D-0000-FFFF-FFFF00000000}"/>
  </bookViews>
  <sheets>
    <sheet name="Summary" sheetId="1" r:id="rId1"/>
    <sheet name="Test Cases" sheetId="2" r:id="rId2"/>
  </sheets>
  <definedNames>
    <definedName name="_xlnm._FilterDatabase" localSheetId="1" hidden="1">'Test Cases'!#REF!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 i="1" l="1"/>
  <c r="K14" i="1"/>
  <c r="I14" i="1"/>
  <c r="H14" i="1"/>
  <c r="G14" i="1"/>
  <c r="F14" i="1"/>
  <c r="D14" i="1"/>
  <c r="L13" i="1"/>
  <c r="K13" i="1"/>
  <c r="I13" i="1"/>
  <c r="H13" i="1"/>
  <c r="G13" i="1"/>
  <c r="F13" i="1"/>
  <c r="D13" i="1"/>
  <c r="L12" i="1"/>
  <c r="K12" i="1"/>
  <c r="I12" i="1"/>
  <c r="H12" i="1"/>
  <c r="G12" i="1"/>
  <c r="F12" i="1"/>
  <c r="D12" i="1"/>
  <c r="M12" i="1"/>
  <c r="L11" i="1"/>
  <c r="K11" i="1"/>
  <c r="I11" i="1"/>
  <c r="H11" i="1"/>
  <c r="G11" i="1"/>
  <c r="F11" i="1"/>
  <c r="D11" i="1"/>
  <c r="C11" i="1"/>
  <c r="L10" i="1"/>
  <c r="K10" i="1"/>
  <c r="I10" i="1"/>
  <c r="H10" i="1"/>
  <c r="G10" i="1"/>
  <c r="F10" i="1"/>
  <c r="D10" i="1"/>
  <c r="C13" i="1"/>
  <c r="M13" i="1"/>
  <c r="M11" i="1"/>
  <c r="M10" i="1"/>
  <c r="C10" i="1"/>
  <c r="L9" i="1"/>
  <c r="K9" i="1"/>
  <c r="I9" i="1"/>
  <c r="H9" i="1"/>
  <c r="G9" i="1"/>
  <c r="F9" i="1"/>
  <c r="D9" i="1"/>
  <c r="L8" i="1"/>
  <c r="K8" i="1"/>
  <c r="I8" i="1"/>
  <c r="H8" i="1"/>
  <c r="G8" i="1"/>
  <c r="F8" i="1"/>
  <c r="D8" i="1"/>
  <c r="M8" i="1"/>
  <c r="L7" i="1"/>
  <c r="K7" i="1"/>
  <c r="I7" i="1"/>
  <c r="H7" i="1"/>
  <c r="G7" i="1"/>
  <c r="F7" i="1"/>
  <c r="D7" i="1"/>
  <c r="L6" i="1"/>
  <c r="K6" i="1"/>
  <c r="I6" i="1"/>
  <c r="H6" i="1"/>
  <c r="G6" i="1"/>
  <c r="F6" i="1"/>
  <c r="D6" i="1"/>
  <c r="L5" i="1"/>
  <c r="K5" i="1"/>
  <c r="I5" i="1"/>
  <c r="H5" i="1"/>
  <c r="G5" i="1"/>
  <c r="F5" i="1"/>
  <c r="D4" i="1"/>
  <c r="D5" i="1"/>
  <c r="C14" i="1"/>
  <c r="C12" i="1"/>
  <c r="C9" i="1"/>
  <c r="C8" i="1"/>
  <c r="C7" i="1"/>
  <c r="C6" i="1"/>
  <c r="C5" i="1"/>
  <c r="M4" i="1"/>
  <c r="M14" i="1"/>
  <c r="M9" i="1"/>
  <c r="M7" i="1"/>
  <c r="M6" i="1"/>
  <c r="M5" i="1"/>
  <c r="C4" i="1"/>
  <c r="K4" i="1"/>
  <c r="I4" i="1"/>
  <c r="G4" i="1"/>
  <c r="L4" i="1"/>
  <c r="F4" i="1"/>
  <c r="H4" i="1"/>
  <c r="J12" i="1" l="1"/>
  <c r="E12" i="1" s="1"/>
  <c r="J14" i="1"/>
  <c r="E14" i="1" s="1"/>
  <c r="J13" i="1"/>
  <c r="E13" i="1" s="1"/>
  <c r="J11" i="1"/>
  <c r="E11" i="1" s="1"/>
  <c r="J10" i="1"/>
  <c r="J9" i="1"/>
  <c r="J8" i="1"/>
  <c r="E8" i="1" s="1"/>
  <c r="J7" i="1"/>
  <c r="E7" i="1" s="1"/>
  <c r="J6" i="1"/>
  <c r="E6" i="1" s="1"/>
  <c r="J5" i="1"/>
  <c r="E5" i="1" s="1"/>
  <c r="L15" i="1"/>
  <c r="I15" i="1"/>
  <c r="H15" i="1"/>
  <c r="J4" i="1"/>
  <c r="E4" i="1" s="1"/>
  <c r="G15" i="1"/>
  <c r="K15" i="1"/>
  <c r="C15" i="1"/>
  <c r="F15" i="1"/>
  <c r="N14" i="1" l="1"/>
  <c r="N5" i="1"/>
  <c r="N8" i="1"/>
  <c r="N12" i="1"/>
  <c r="N7" i="1"/>
  <c r="N6" i="1"/>
  <c r="E9" i="1"/>
  <c r="N9" i="1" s="1"/>
  <c r="N13" i="1"/>
  <c r="E10" i="1"/>
  <c r="N10" i="1" s="1"/>
  <c r="N11" i="1"/>
  <c r="N4" i="1"/>
  <c r="M15" i="1"/>
  <c r="D15" i="1"/>
  <c r="J15" i="1"/>
  <c r="E15" i="1" l="1"/>
  <c r="N15" i="1" s="1"/>
</calcChain>
</file>

<file path=xl/sharedStrings.xml><?xml version="1.0" encoding="utf-8"?>
<sst xmlns="http://schemas.openxmlformats.org/spreadsheetml/2006/main" count="1794" uniqueCount="331">
  <si>
    <t>NP</t>
  </si>
  <si>
    <t>Test Results Summary</t>
  </si>
  <si>
    <t>Test</t>
  </si>
  <si>
    <t>Total Tests</t>
  </si>
  <si>
    <t>Pass</t>
  </si>
  <si>
    <t>Fail</t>
  </si>
  <si>
    <t>Needs Investigation</t>
  </si>
  <si>
    <t>Reviewed Pass</t>
  </si>
  <si>
    <t>Defer</t>
  </si>
  <si>
    <t>Retest 1 Pass</t>
  </si>
  <si>
    <t>Retest 1 Fail</t>
  </si>
  <si>
    <t>Retest 2 Pass</t>
  </si>
  <si>
    <t>Retest 2 Fail</t>
  </si>
  <si>
    <t>Remaining</t>
  </si>
  <si>
    <t>Success Rate (of tests executed)</t>
  </si>
  <si>
    <t>Test Description</t>
  </si>
  <si>
    <t>Self Nav</t>
  </si>
  <si>
    <t>Tests the ability of the vehicle to run a route without sensor input, aside from GPS and inertial components.</t>
  </si>
  <si>
    <t>Mode Transitions</t>
  </si>
  <si>
    <t>Tests the ability of the vehicle to transition in and out of auto and manual mode under different conditions.</t>
  </si>
  <si>
    <t>Path Following</t>
  </si>
  <si>
    <t>Tests the ability of the vehicle to run a route with all sensors active and under nominal conditions.</t>
  </si>
  <si>
    <t>Object Detection and Avoidance</t>
  </si>
  <si>
    <t>Test the ability of the vehicle to detect and avoid a variety of obstacles.</t>
  </si>
  <si>
    <t>Following, Pacing, Stopping</t>
  </si>
  <si>
    <t>Test the ability of the vehicle to detect object speed and pace behind at an appropriate distance.</t>
  </si>
  <si>
    <t>Intersections</t>
  </si>
  <si>
    <t>Tests the ability of the vehicle to navigate intersections, with and without other vehicles.</t>
  </si>
  <si>
    <t>Use Case- Remote Start</t>
  </si>
  <si>
    <t>Tests the ability of the vehicle to turn on and off remotely.</t>
  </si>
  <si>
    <t>Use Case- Bus Wash</t>
  </si>
  <si>
    <t>Tests the ability of the vehicle to navigate lanelines and the bus wash without GPS.</t>
  </si>
  <si>
    <t>Use Case- Charging</t>
  </si>
  <si>
    <t>Tests the ability of the vehicle to navigate under the pantograph charger and charge the vehicle.</t>
  </si>
  <si>
    <t>Use Case- Precision Parking</t>
  </si>
  <si>
    <t>Tests the ability of the vehicle to park precisely (=/&lt;12") in same location over multiple repititions.</t>
  </si>
  <si>
    <t>Robustness Testing</t>
  </si>
  <si>
    <t>Test the ability of the vehicle to drive in automated mode for 30 minutes without human intervention.</t>
  </si>
  <si>
    <t>Grand Total</t>
  </si>
  <si>
    <t>Test Results</t>
  </si>
  <si>
    <t>Description</t>
  </si>
  <si>
    <t>The test passed. The expected results were met.</t>
  </si>
  <si>
    <t>The test failed. The expected results were not met.</t>
  </si>
  <si>
    <t>Inconclusive. There may have been an action that warrants a log review.</t>
  </si>
  <si>
    <t xml:space="preserve">Pass resulting from an log investigation. Check the comments for more details. </t>
  </si>
  <si>
    <t>The test will not be be executed during the testing phase.</t>
  </si>
  <si>
    <t>Not Executed</t>
  </si>
  <si>
    <t>The test has not been executed yet.</t>
  </si>
  <si>
    <t>Category</t>
  </si>
  <si>
    <t>Test #</t>
  </si>
  <si>
    <t>Expected Results</t>
  </si>
  <si>
    <t>Test Comments</t>
  </si>
  <si>
    <t>Test Result</t>
  </si>
  <si>
    <t>Date</t>
  </si>
  <si>
    <t>Test Log Link</t>
  </si>
  <si>
    <t>Test Eng(s)</t>
  </si>
  <si>
    <t>Retest 1 Comments</t>
  </si>
  <si>
    <t>Retest 1 Result</t>
  </si>
  <si>
    <t>Retest 1 Log Link</t>
  </si>
  <si>
    <t>Retest 2 Comments</t>
  </si>
  <si>
    <t>Retest 2 Result</t>
  </si>
  <si>
    <t>Retest 2 Log Link</t>
  </si>
  <si>
    <t>Speed</t>
  </si>
  <si>
    <t>Weather Conditions</t>
  </si>
  <si>
    <t xml:space="preserve">Run the AV on a self-nav mission straight ahead with the sensors switched off. </t>
  </si>
  <si>
    <t>The bus should be able to path follow based upon GPS alone.</t>
  </si>
  <si>
    <t>n/a</t>
  </si>
  <si>
    <t>06-09-2025_17-52-13_RC</t>
  </si>
  <si>
    <t>MG</t>
  </si>
  <si>
    <t>5 MPH</t>
  </si>
  <si>
    <t>clear, sunny, 90+ degrees</t>
  </si>
  <si>
    <t>06-09-2025_17-57-10_RC</t>
  </si>
  <si>
    <t>06-09-2025_18-01-29_RC</t>
  </si>
  <si>
    <t xml:space="preserve">Run the AV on a self-nav mission with a left turn ahead with the sensors switched off. </t>
  </si>
  <si>
    <t>Run the AV on a mission with a right turn ahead with the sensors switched off.</t>
  </si>
  <si>
    <t>Run the AV on a mission straight through a stop sign controlled instersection ahead with the sensors switched off.</t>
  </si>
  <si>
    <t>06-09-2025_18-14-22_RC</t>
  </si>
  <si>
    <t>06-09-2025_18-20-04_RC</t>
  </si>
  <si>
    <t>06-09-2025_18-24-43_RC</t>
  </si>
  <si>
    <t>With the AV on, run a mission aligned with the route, switch from manual mode and transition into auto mode.</t>
  </si>
  <si>
    <t>The bus should begin running the mission autonimously.</t>
  </si>
  <si>
    <t>06-09-2025_18-43-36_RC</t>
  </si>
  <si>
    <t>06-09-2025_18-52-15_RC</t>
  </si>
  <si>
    <t>06-09-2025_18-53-18_RC</t>
  </si>
  <si>
    <t>With the AV on, running a mission in auto mode, transition into manual mode.</t>
  </si>
  <si>
    <t>The bus should transition to operator control.</t>
  </si>
  <si>
    <t>06-09-2025_18-31-49_RC</t>
  </si>
  <si>
    <t>06-09-2025_18-32-37_RC</t>
  </si>
  <si>
    <t>06-09-2025_18-35-01_RC</t>
  </si>
  <si>
    <t>With the AV on and in manual mode, attempt to transition into auto mode when not aligned with route, offset left by half bus width.</t>
  </si>
  <si>
    <t>Bus corrects to path and proceeds</t>
  </si>
  <si>
    <t>06-09-2025_19-04-40_RC</t>
  </si>
  <si>
    <t>06-09-2025_19-06-08_RC</t>
  </si>
  <si>
    <t>06-09-2025_19-06-53_RC</t>
  </si>
  <si>
    <t>With the AV on and in manual mode, attempt to transition into auto mode when not aligned with route, offset right by half bus width.</t>
  </si>
  <si>
    <t>06-09-2025_19-10-49_RC</t>
  </si>
  <si>
    <t>06-09-2025_19-11-36_RC</t>
  </si>
  <si>
    <t>06-09-2025_19-12-13_RC</t>
  </si>
  <si>
    <t>With the AV on and in manual mode, attempt to transition into auto mode when not aligned with route, offset left by a full bus width.</t>
  </si>
  <si>
    <t>Mission will not start due to off track distance - 4M tolerance</t>
  </si>
  <si>
    <t>06-09-2025_19-18-11_RC</t>
  </si>
  <si>
    <t>06-09-2025_19-18-17_RC</t>
  </si>
  <si>
    <t>06-09-2025_19-18-44_RC</t>
  </si>
  <si>
    <t>With the AV on and in manual mode, attempt to transition into auto mode when not aligned with route, offset right by a full bus width.</t>
  </si>
  <si>
    <t>06-09-2025_20-09-02_RC</t>
  </si>
  <si>
    <t>06-09-2025_20-11-21_RC</t>
  </si>
  <si>
    <t>06-09-2025_20-12-17_RC</t>
  </si>
  <si>
    <t>With the AV on and in manual mode, attempt to transition into auto mode when aligned with the route on a curve portion of the route.</t>
  </si>
  <si>
    <t>As long as it is still close to the path, the vehicle will resume auto mode</t>
  </si>
  <si>
    <t>06-09-2025_20-18-09_RC</t>
  </si>
  <si>
    <t>06-09-2025_20-20-31_RC</t>
  </si>
  <si>
    <t>06-09-2025_20-21-58_RC</t>
  </si>
  <si>
    <t>With the vehicle on and in auto mode, press the e-stop</t>
  </si>
  <si>
    <t>Brakes apply quickly, parking brake is set. Mission can not resume until e-stop button is reset and parking brake is manually released. TONY is not stopped. Also locks out PB until e-stop is reset</t>
  </si>
  <si>
    <t>BEB runs full route with all sensors on &amp; GPS nav functionality active with no obstacles present along the route.</t>
  </si>
  <si>
    <t>The AV should run the mission, start to finish, with no false detections.</t>
  </si>
  <si>
    <t>BEB following planned route with a parked vehicle overlapping travel lane on BEB Passenger side by half a bus width</t>
  </si>
  <si>
    <t>The AV should stop for the parked vehicle, and possibly bump around the parked vehicle, depending on the route lane width.</t>
  </si>
  <si>
    <t>BEB following planned route with a parked vehicle overlapping travel lane on BEB Driver side by half a bus width</t>
  </si>
  <si>
    <t>The AV should stop for the parked vehicle. Manual takeover will be required to pass around the parked vehicle overlapping into the driver's lane.</t>
  </si>
  <si>
    <t>BEB following planned route through a left turn with a stopped vehicle slightly overlapping travel lane on BEB Driver side</t>
  </si>
  <si>
    <t>BEB following planned route through a right turn with a stopped vehicle slightly overlapping travel lane on BEB Driver side</t>
  </si>
  <si>
    <t>BEB following planned route through a left turn with a stopped vehicle slightly overlapping travel lane on BEB Passenger side</t>
  </si>
  <si>
    <t>BEB following planned route through a right turn with a stopped vehicle slightly overlapping travel lane on BEB Passenger side</t>
  </si>
  <si>
    <t>ODOA</t>
  </si>
  <si>
    <t>orange construction barrel in lane of travel</t>
  </si>
  <si>
    <t>AV should stop for the obstacle and resume it's mission once the obstacle is cleared from the lane.</t>
  </si>
  <si>
    <t>yellow barrel used. only driver intervention was releasing interlock since no assistant to move barrel and door had to be opened</t>
  </si>
  <si>
    <t>12-30-19</t>
  </si>
  <si>
    <t>DP</t>
  </si>
  <si>
    <t>12-33-28</t>
  </si>
  <si>
    <t>12-36-24</t>
  </si>
  <si>
    <t xml:space="preserve">pedestrian standing in the lane of travel </t>
  </si>
  <si>
    <t>AV should stop for the pedestrian and resume it's mission once the pedestrian moves out of the lane.</t>
  </si>
  <si>
    <t>12-38-25</t>
  </si>
  <si>
    <t>12-40-06</t>
  </si>
  <si>
    <t>12-40-44</t>
  </si>
  <si>
    <t>stopped vehicle in the lane of travel</t>
  </si>
  <si>
    <t>AV should stop for the vehicle and resume it's mission once the vehicle is cleared from the lane.</t>
  </si>
  <si>
    <t>completed all three in a single long run</t>
  </si>
  <si>
    <t>12-53-42</t>
  </si>
  <si>
    <t>vehicle reversing into the lane of travel from the left</t>
  </si>
  <si>
    <t>12-57-56</t>
  </si>
  <si>
    <t>12-55-59</t>
  </si>
  <si>
    <t>13-01-52</t>
  </si>
  <si>
    <t>vehicle reversing into the lane of travel from the right</t>
  </si>
  <si>
    <t>06-10-2025_17-38-27_RC</t>
  </si>
  <si>
    <t>partly cloudy 90+ degrees</t>
  </si>
  <si>
    <t>06-10-2025_17-39-27_RC</t>
  </si>
  <si>
    <t>06-10-2025_17-40-32_RC</t>
  </si>
  <si>
    <t>crossing pedestrian- close straight left to right</t>
  </si>
  <si>
    <t>10m away</t>
  </si>
  <si>
    <t>06-11-2025_16-28-35_RC</t>
  </si>
  <si>
    <t>06-11-2025_16-30-08_RC</t>
  </si>
  <si>
    <t>06-11-2025_16-32-25_RC</t>
  </si>
  <si>
    <t>crossing pedestrian- close straight right to left</t>
  </si>
  <si>
    <t>06-11-2025_16-34-48_RC</t>
  </si>
  <si>
    <t>06-11-2025_16-35-43_RC</t>
  </si>
  <si>
    <t>06-11-2025_16-36-25_RC</t>
  </si>
  <si>
    <t>crossing pedestrian- medium straight left to right</t>
  </si>
  <si>
    <t>25m away</t>
  </si>
  <si>
    <t>06-11-2025_16-44-57_RC</t>
  </si>
  <si>
    <t>06-11-2025_16-45-56_RC</t>
  </si>
  <si>
    <t>06-11-2025_16-46-53_RC</t>
  </si>
  <si>
    <t>crossing pedestrian- medium straight right to left</t>
  </si>
  <si>
    <t>06-11-2025_16-41-41_RC</t>
  </si>
  <si>
    <t>06-11-2025_16-42-39_RC</t>
  </si>
  <si>
    <t>06-11-2025_16-43-36_RC</t>
  </si>
  <si>
    <t>AV stops for crossing pedestrian- close during left turn inside to outside</t>
  </si>
  <si>
    <t>06-11-2025_17-21-03_RC</t>
  </si>
  <si>
    <t>06-11-2025_17-21-55_RC</t>
  </si>
  <si>
    <t>06-11-2025_17-22-55_RC</t>
  </si>
  <si>
    <t>AV stops for crossing pedestrian- close during left turn outside to inside</t>
  </si>
  <si>
    <t>06-11-2025_17-24-20_RC</t>
  </si>
  <si>
    <t>06-11-2025_17-25-27_RC</t>
  </si>
  <si>
    <t>06-11-2025_17-26-32_RC</t>
  </si>
  <si>
    <t>AV stops for crossing pedestrian- close during right turn inside to outside</t>
  </si>
  <si>
    <t>06-11-2025_17-07-50_RC</t>
  </si>
  <si>
    <t>06-11-2025_17-10-00_RC</t>
  </si>
  <si>
    <t>06-11-2025_17-11-07_RC</t>
  </si>
  <si>
    <t>AV stops for crossing pedestrian- close during right turn outside to inside</t>
  </si>
  <si>
    <t>06-11-2025_17-12-50_RC</t>
  </si>
  <si>
    <t>06-11-2025_17-15-49_RC</t>
  </si>
  <si>
    <t>06-11-2025_17-16-47_RC</t>
  </si>
  <si>
    <t>AV slows or stops for crossing pedestrian- medium during right turn inside to outside</t>
  </si>
  <si>
    <t>06-12-2025_18-30-33_RC</t>
  </si>
  <si>
    <t>partly sunny, 90+ degrees</t>
  </si>
  <si>
    <t>06-12-2025_18-31-45_RC</t>
  </si>
  <si>
    <t>06-12-2025_18-32-44_RC</t>
  </si>
  <si>
    <t>AV slows or stops for crossing pedestrian- medium during right turn outside to inside</t>
  </si>
  <si>
    <t>06-12-2025_18-37-17_RC</t>
  </si>
  <si>
    <t>06-12-2025_18-38-23_RC</t>
  </si>
  <si>
    <t>06-12-2025_18-39-45_RC</t>
  </si>
  <si>
    <t>AV slows or stops for crossing pedestrian- medium during left turn inside to outside</t>
  </si>
  <si>
    <t>06-12-2025_18-50-44_RC</t>
  </si>
  <si>
    <t>06-12-2025_18-52-21_RC</t>
  </si>
  <si>
    <t>06-12-2025_18-53-49_RC</t>
  </si>
  <si>
    <t>AV slows or stops for crossing pedestrian- medium during left turn outside to inside</t>
  </si>
  <si>
    <t>06-12-2025_19-01-42_RC</t>
  </si>
  <si>
    <t>06-12-2025_19-02-27_RC</t>
  </si>
  <si>
    <t>06-12-2025_19-03-07_RC</t>
  </si>
  <si>
    <t>AV doesn't stop for crossing pedestrian- far left to right</t>
  </si>
  <si>
    <t>AV should continue the mission as normal without any hesitation.</t>
  </si>
  <si>
    <t>30+ m away</t>
  </si>
  <si>
    <t>06-12-2025_16-03-41_RC</t>
  </si>
  <si>
    <t>06-12-2025_16-05-05_RC</t>
  </si>
  <si>
    <t>06-12-2025_16-06-00_RC</t>
  </si>
  <si>
    <t>AV doesn't stop for crossing pedestrian- far right to left</t>
  </si>
  <si>
    <t>06-12-2025_16-08-08_RC</t>
  </si>
  <si>
    <t>06-12-2025_16-09-08_RC</t>
  </si>
  <si>
    <t>06-12-2025_16-10-00_RC</t>
  </si>
  <si>
    <t>AV doesn't stop for approaching pedestrian who stops before entering the lane of travel on the left</t>
  </si>
  <si>
    <t>06-12-2025_16-11-39_RC</t>
  </si>
  <si>
    <t>06-12-2025_16-12-42_RC</t>
  </si>
  <si>
    <t>06-12-2025_16-13-29_RC</t>
  </si>
  <si>
    <t>AV doesn't stop for approaching pedestrian who stops before entering the lane of travel on the right</t>
  </si>
  <si>
    <t>06-12-2025_16-14-31_RC</t>
  </si>
  <si>
    <t>06-12-2025_16-15-35_RC</t>
  </si>
  <si>
    <t>06-12-2025_16-16-35_RC</t>
  </si>
  <si>
    <t>AV stops for approaching pedestrian who infringes upon the lane of travel on the left</t>
  </si>
  <si>
    <t>06-12-2025_12-51-52_RC</t>
  </si>
  <si>
    <t>06-12-2025_18-18-51_RC</t>
  </si>
  <si>
    <t>06-12-2025_18-19-35_RC</t>
  </si>
  <si>
    <t>AV stops for approaching pedestrian who infringes upon the lane of travel on the right</t>
  </si>
  <si>
    <t>06-12-2025_18-23-13_RC</t>
  </si>
  <si>
    <t>06-12-2025_18-23-58_RC</t>
  </si>
  <si>
    <t>06-12-2025_18-24-40_RC</t>
  </si>
  <si>
    <t>AV stops for pedestrian who enters the lane of travel, trips, and lays on the ground</t>
  </si>
  <si>
    <t>AV stops for pedestrian laying on the ground in the lane of travel when the vehicle approaches</t>
  </si>
  <si>
    <t>AV stops for pedestrian on knees tying shoe in the lane of travel when the vehicle approaches</t>
  </si>
  <si>
    <t>AV stops for already open vehicle car door on the left</t>
  </si>
  <si>
    <t>AV should stop for the vehicle with the open car door. The AV may resume it's mission once the car door is closed, depending upon the vehicle's encroachment into the lane.</t>
  </si>
  <si>
    <t>06-12-2025_12-50-16_RC</t>
  </si>
  <si>
    <t>06-12-2025_12-51-04_RC</t>
  </si>
  <si>
    <t>AV stops for already open vehicle car door on the right</t>
  </si>
  <si>
    <t>AV should stop for the vehicle with the open car door. The AV may resume it's mission once the car door is closed, by bumping aroung the vehicle. This will depend upon the vehicle's encroachment into the lane and the set lane width.</t>
  </si>
  <si>
    <t>06-10-2025_17-12-37_RC</t>
  </si>
  <si>
    <t>06-10-2025_17-13-28_RC</t>
  </si>
  <si>
    <t>06-10-2025_17-15-12_RC</t>
  </si>
  <si>
    <t>AV stops for late opened vehicle car door on the left</t>
  </si>
  <si>
    <t>AV stops for late opened vehicle car door on the right</t>
  </si>
  <si>
    <t>06-10-2025_17-16-38_RC</t>
  </si>
  <si>
    <t>06-10-2025_17-17-27_RC</t>
  </si>
  <si>
    <t>06-10-2025_17-21-26_RC</t>
  </si>
  <si>
    <r>
      <t xml:space="preserve">AV stops no further than </t>
    </r>
    <r>
      <rPr>
        <b/>
        <sz val="10"/>
        <color rgb="FF222222"/>
        <rFont val="Arial"/>
        <family val="2"/>
        <scheme val="minor"/>
      </rPr>
      <t>.5 m</t>
    </r>
    <r>
      <rPr>
        <sz val="10"/>
        <color rgb="FF222222"/>
        <rFont val="Arial"/>
        <family val="2"/>
        <scheme val="minor"/>
      </rPr>
      <t xml:space="preserve"> prior to stop point, nor </t>
    </r>
    <r>
      <rPr>
        <b/>
        <sz val="10"/>
        <color rgb="FF222222"/>
        <rFont val="Arial"/>
        <family val="2"/>
        <scheme val="minor"/>
      </rPr>
      <t>.5m</t>
    </r>
    <r>
      <rPr>
        <sz val="10"/>
        <color rgb="FF222222"/>
        <rFont val="Arial"/>
        <family val="2"/>
        <scheme val="minor"/>
      </rPr>
      <t xml:space="preserve"> beyond stop point at </t>
    </r>
    <r>
      <rPr>
        <b/>
        <sz val="10"/>
        <color rgb="FF222222"/>
        <rFont val="Arial"/>
        <family val="2"/>
        <scheme val="minor"/>
      </rPr>
      <t>5 mph</t>
    </r>
  </si>
  <si>
    <t>AV should stop better than the .5m accuracy</t>
  </si>
  <si>
    <r>
      <t xml:space="preserve">Target Vehicle is ahead of AV running at </t>
    </r>
    <r>
      <rPr>
        <b/>
        <sz val="10"/>
        <color rgb="FF222222"/>
        <rFont val="Arial"/>
        <family val="2"/>
        <scheme val="minor"/>
      </rPr>
      <t xml:space="preserve">3 mph </t>
    </r>
    <r>
      <rPr>
        <sz val="10"/>
        <color rgb="FF222222"/>
        <rFont val="Arial"/>
        <family val="2"/>
        <scheme val="minor"/>
      </rPr>
      <t>in the lane.</t>
    </r>
  </si>
  <si>
    <t>AV should slow and pace the TV at 3 mph.</t>
  </si>
  <si>
    <r>
      <t xml:space="preserve">AV runs up behind a pedestrian while navigating </t>
    </r>
    <r>
      <rPr>
        <b/>
        <sz val="10"/>
        <color rgb="FF222222"/>
        <rFont val="Arial"/>
        <family val="2"/>
        <scheme val="minor"/>
      </rPr>
      <t>5 mph</t>
    </r>
    <r>
      <rPr>
        <sz val="10"/>
        <color rgb="FF222222"/>
        <rFont val="Arial"/>
        <family val="2"/>
        <scheme val="minor"/>
      </rPr>
      <t xml:space="preserve"> in the lane.</t>
    </r>
  </si>
  <si>
    <t>AV should slow and pace the pedestrian</t>
  </si>
  <si>
    <r>
      <t>AV approaches stopped TV in the lane at 5</t>
    </r>
    <r>
      <rPr>
        <b/>
        <sz val="10"/>
        <color rgb="FF222222"/>
        <rFont val="Arial"/>
        <family val="2"/>
        <scheme val="minor"/>
      </rPr>
      <t xml:space="preserve"> mph.</t>
    </r>
  </si>
  <si>
    <t>AV should stop, and as TV pulls away, the AV follows.</t>
  </si>
  <si>
    <r>
      <t>AV approaches stopped pedestrian in the lane at 5</t>
    </r>
    <r>
      <rPr>
        <b/>
        <sz val="10"/>
        <color rgb="FF222222"/>
        <rFont val="Arial"/>
        <family val="2"/>
        <scheme val="minor"/>
      </rPr>
      <t xml:space="preserve"> mph.</t>
    </r>
  </si>
  <si>
    <t>AV should stop, and as pedestrian walks away staying in the lane, the AV follows.</t>
  </si>
  <si>
    <r>
      <t>AV slows approach to intersection and stops. AV</t>
    </r>
    <r>
      <rPr>
        <b/>
        <sz val="10"/>
        <color rgb="FF222222"/>
        <rFont val="Arial"/>
        <family val="2"/>
        <scheme val="minor"/>
      </rPr>
      <t xml:space="preserve"> turns right</t>
    </r>
    <r>
      <rPr>
        <sz val="10"/>
        <color rgb="FF222222"/>
        <rFont val="Arial"/>
        <family val="2"/>
        <scheme val="minor"/>
      </rPr>
      <t xml:space="preserve"> with clear intersection.</t>
    </r>
  </si>
  <si>
    <t>AV, without hesitation, proceeds turning right at the intersection.</t>
  </si>
  <si>
    <r>
      <t xml:space="preserve">AV slows approach to intersection and stops. AV </t>
    </r>
    <r>
      <rPr>
        <b/>
        <sz val="10"/>
        <color rgb="FF222222"/>
        <rFont val="Arial"/>
        <family val="2"/>
        <scheme val="minor"/>
      </rPr>
      <t>turns left</t>
    </r>
    <r>
      <rPr>
        <sz val="10"/>
        <color rgb="FF222222"/>
        <rFont val="Arial"/>
        <family val="2"/>
        <scheme val="minor"/>
      </rPr>
      <t xml:space="preserve"> with clear intersection.</t>
    </r>
  </si>
  <si>
    <t>AV, without hesitation, proceeds turning left at the intersection.</t>
  </si>
  <si>
    <r>
      <t xml:space="preserve">AV slows approach to intersection </t>
    </r>
    <r>
      <rPr>
        <b/>
        <sz val="10"/>
        <color rgb="FF222222"/>
        <rFont val="Arial"/>
        <family val="2"/>
        <scheme val="minor"/>
      </rPr>
      <t>not stopping (from direction with no stop sign and turning left across oncoming traffic)</t>
    </r>
    <r>
      <rPr>
        <sz val="10"/>
        <color rgb="FF222222"/>
        <rFont val="Arial"/>
        <family val="2"/>
        <scheme val="minor"/>
      </rPr>
      <t>. AV turns left with clear intersection.</t>
    </r>
  </si>
  <si>
    <r>
      <t xml:space="preserve">AV slows approach to intersection and stops. AV desires to </t>
    </r>
    <r>
      <rPr>
        <b/>
        <sz val="10"/>
        <color rgb="FF222222"/>
        <rFont val="Arial"/>
        <family val="2"/>
        <scheme val="minor"/>
      </rPr>
      <t>turn right</t>
    </r>
    <r>
      <rPr>
        <sz val="10"/>
        <color rgb="FF222222"/>
        <rFont val="Arial"/>
        <family val="2"/>
        <scheme val="minor"/>
      </rPr>
      <t xml:space="preserve"> but intersection is </t>
    </r>
    <r>
      <rPr>
        <b/>
        <sz val="10"/>
        <color rgb="FF222222"/>
        <rFont val="Arial"/>
        <family val="2"/>
        <scheme val="minor"/>
      </rPr>
      <t>blocked</t>
    </r>
    <r>
      <rPr>
        <sz val="10"/>
        <color rgb="FF222222"/>
        <rFont val="Arial"/>
        <family val="2"/>
        <scheme val="minor"/>
      </rPr>
      <t xml:space="preserve"> by TV.</t>
    </r>
  </si>
  <si>
    <t>AV, without hesitation, proceeds turning right, once the intersection is clear.</t>
  </si>
  <si>
    <r>
      <t xml:space="preserve">AV slows approach to intersection and stops. AV desires to </t>
    </r>
    <r>
      <rPr>
        <b/>
        <sz val="10"/>
        <color rgb="FF222222"/>
        <rFont val="Arial"/>
        <family val="2"/>
        <scheme val="minor"/>
      </rPr>
      <t>turn left</t>
    </r>
    <r>
      <rPr>
        <sz val="10"/>
        <color rgb="FF222222"/>
        <rFont val="Arial"/>
        <family val="2"/>
        <scheme val="minor"/>
      </rPr>
      <t xml:space="preserve"> but intersecton is </t>
    </r>
    <r>
      <rPr>
        <b/>
        <sz val="10"/>
        <color rgb="FF222222"/>
        <rFont val="Arial"/>
        <family val="2"/>
        <scheme val="minor"/>
      </rPr>
      <t>blocked</t>
    </r>
    <r>
      <rPr>
        <sz val="10"/>
        <color rgb="FF222222"/>
        <rFont val="Arial"/>
        <family val="2"/>
        <scheme val="minor"/>
      </rPr>
      <t xml:space="preserve"> by TV. AV continues after TV clears the intersection.</t>
    </r>
  </si>
  <si>
    <t>AV, without hesitation, proceeds turning left, once the intersection is clear.</t>
  </si>
  <si>
    <r>
      <t xml:space="preserve">AV slows approach to intersection and stops. AV desires to turn </t>
    </r>
    <r>
      <rPr>
        <b/>
        <sz val="10"/>
        <color rgb="FF222222"/>
        <rFont val="Arial"/>
        <family val="2"/>
        <scheme val="minor"/>
      </rPr>
      <t>left</t>
    </r>
    <r>
      <rPr>
        <sz val="10"/>
        <color rgb="FF222222"/>
        <rFont val="Arial"/>
        <family val="2"/>
        <scheme val="minor"/>
      </rPr>
      <t xml:space="preserve"> accross </t>
    </r>
    <r>
      <rPr>
        <b/>
        <sz val="10"/>
        <color rgb="FF222222"/>
        <rFont val="Arial"/>
        <family val="2"/>
        <scheme val="minor"/>
      </rPr>
      <t>oncoming traffic</t>
    </r>
    <r>
      <rPr>
        <sz val="10"/>
        <color rgb="FF222222"/>
        <rFont val="Arial"/>
        <family val="2"/>
        <scheme val="minor"/>
      </rPr>
      <t xml:space="preserve"> but intersection is </t>
    </r>
    <r>
      <rPr>
        <b/>
        <sz val="10"/>
        <color rgb="FF222222"/>
        <rFont val="Arial"/>
        <family val="2"/>
        <scheme val="minor"/>
      </rPr>
      <t>blocked</t>
    </r>
    <r>
      <rPr>
        <sz val="10"/>
        <color rgb="FF222222"/>
        <rFont val="Arial"/>
        <family val="2"/>
        <scheme val="minor"/>
      </rPr>
      <t xml:space="preserve"> by TV.</t>
    </r>
  </si>
  <si>
    <t>AV, without hesitation, proceeds turning left, once the intersection is clear, and no oncoming traffic is approaching.</t>
  </si>
  <si>
    <r>
      <t xml:space="preserve">AV slows approach to intersection and stops. AV desires to yield to </t>
    </r>
    <r>
      <rPr>
        <b/>
        <sz val="10"/>
        <color rgb="FF222222"/>
        <rFont val="Arial"/>
        <family val="2"/>
        <scheme val="minor"/>
      </rPr>
      <t>oncoming traffic</t>
    </r>
    <r>
      <rPr>
        <sz val="10"/>
        <color rgb="FF222222"/>
        <rFont val="Arial"/>
        <family val="2"/>
        <scheme val="minor"/>
      </rPr>
      <t xml:space="preserve"> and turn left but intersection is </t>
    </r>
    <r>
      <rPr>
        <b/>
        <sz val="10"/>
        <color rgb="FF222222"/>
        <rFont val="Arial"/>
        <family val="2"/>
        <scheme val="minor"/>
      </rPr>
      <t>blocked</t>
    </r>
    <r>
      <rPr>
        <sz val="10"/>
        <color rgb="FF222222"/>
        <rFont val="Arial"/>
        <family val="2"/>
        <scheme val="minor"/>
      </rPr>
      <t xml:space="preserve"> by TV.</t>
    </r>
  </si>
  <si>
    <r>
      <t xml:space="preserve">AV slows approach to intersection and stops. AV yields to TV(s)  </t>
    </r>
    <r>
      <rPr>
        <b/>
        <sz val="10"/>
        <color rgb="FF222222"/>
        <rFont val="Arial"/>
        <family val="2"/>
        <scheme val="minor"/>
      </rPr>
      <t xml:space="preserve">approaching from the </t>
    </r>
    <r>
      <rPr>
        <b/>
        <sz val="10"/>
        <color rgb="FFEA4335"/>
        <rFont val="Arial"/>
        <family val="2"/>
        <scheme val="minor"/>
      </rPr>
      <t>left</t>
    </r>
    <r>
      <rPr>
        <sz val="10"/>
        <color rgb="FFEA4335"/>
        <rFont val="Arial"/>
        <family val="2"/>
        <scheme val="minor"/>
      </rPr>
      <t xml:space="preserve"> </t>
    </r>
    <r>
      <rPr>
        <sz val="10"/>
        <color rgb="FF222222"/>
        <rFont val="Arial"/>
        <family val="2"/>
        <scheme val="minor"/>
      </rPr>
      <t>and desires to turn</t>
    </r>
    <r>
      <rPr>
        <b/>
        <sz val="10"/>
        <color rgb="FF222222"/>
        <rFont val="Arial"/>
        <family val="2"/>
        <scheme val="minor"/>
      </rPr>
      <t xml:space="preserve"> right</t>
    </r>
    <r>
      <rPr>
        <sz val="10"/>
        <color rgb="FF222222"/>
        <rFont val="Arial"/>
        <family val="2"/>
        <scheme val="minor"/>
      </rPr>
      <t xml:space="preserve"> at the intersection.</t>
    </r>
  </si>
  <si>
    <t>AV, without hesitation, proceeds turning right, once safe to do so, after yielding to approaching traffic.</t>
  </si>
  <si>
    <r>
      <t xml:space="preserve">AV slows approach to intersection and stops. AV </t>
    </r>
    <r>
      <rPr>
        <b/>
        <sz val="10"/>
        <color rgb="FF222222"/>
        <rFont val="Arial"/>
        <family val="2"/>
        <scheme val="minor"/>
      </rPr>
      <t xml:space="preserve">proceeds to turn right </t>
    </r>
    <r>
      <rPr>
        <sz val="10"/>
        <color rgb="FF222222"/>
        <rFont val="Arial"/>
        <family val="2"/>
        <scheme val="minor"/>
      </rPr>
      <t xml:space="preserve">while TV(s) are  </t>
    </r>
    <r>
      <rPr>
        <b/>
        <sz val="10"/>
        <color rgb="FF222222"/>
        <rFont val="Arial"/>
        <family val="2"/>
        <scheme val="minor"/>
      </rPr>
      <t xml:space="preserve">approaching from the </t>
    </r>
    <r>
      <rPr>
        <b/>
        <sz val="10"/>
        <color theme="5"/>
        <rFont val="Arial"/>
        <family val="2"/>
        <scheme val="minor"/>
      </rPr>
      <t>right</t>
    </r>
    <r>
      <rPr>
        <sz val="10"/>
        <color theme="5"/>
        <rFont val="Arial"/>
        <family val="2"/>
        <scheme val="minor"/>
      </rPr>
      <t xml:space="preserve"> </t>
    </r>
    <r>
      <rPr>
        <sz val="10"/>
        <color rgb="FF222222"/>
        <rFont val="Arial"/>
        <family val="2"/>
        <scheme val="minor"/>
      </rPr>
      <t>in the opposite lane.</t>
    </r>
  </si>
  <si>
    <t>AV, without hesitation, should turn right even if traffic  is approaching from the right in the opposite lane.</t>
  </si>
  <si>
    <r>
      <t xml:space="preserve">AV slows approach to intersection and stops. AV yields to TV(s) </t>
    </r>
    <r>
      <rPr>
        <b/>
        <sz val="10"/>
        <color rgb="FF222222"/>
        <rFont val="Arial"/>
        <family val="2"/>
        <scheme val="minor"/>
      </rPr>
      <t xml:space="preserve">approaching from the </t>
    </r>
    <r>
      <rPr>
        <b/>
        <sz val="10"/>
        <color rgb="FFEA4335"/>
        <rFont val="Arial"/>
        <family val="2"/>
        <scheme val="minor"/>
      </rPr>
      <t>left</t>
    </r>
    <r>
      <rPr>
        <sz val="10"/>
        <color rgb="FFEA4335"/>
        <rFont val="Arial"/>
        <family val="2"/>
        <scheme val="minor"/>
      </rPr>
      <t xml:space="preserve"> </t>
    </r>
    <r>
      <rPr>
        <sz val="10"/>
        <color rgb="FF222222"/>
        <rFont val="Arial"/>
        <family val="2"/>
        <scheme val="minor"/>
      </rPr>
      <t xml:space="preserve">and </t>
    </r>
    <r>
      <rPr>
        <b/>
        <sz val="10"/>
        <color rgb="FF222222"/>
        <rFont val="Arial"/>
        <family val="2"/>
        <scheme val="minor"/>
      </rPr>
      <t>turns left</t>
    </r>
    <r>
      <rPr>
        <sz val="10"/>
        <color rgb="FF222222"/>
        <rFont val="Arial"/>
        <family val="2"/>
        <scheme val="minor"/>
      </rPr>
      <t xml:space="preserve"> at the intersection.</t>
    </r>
  </si>
  <si>
    <t>AV, without hesitation, proceeds turning left, once safe to do so, after yielding to approaching traffic.</t>
  </si>
  <si>
    <r>
      <t xml:space="preserve">AV slows approach to intersection and stops. AV yields to TV(s) </t>
    </r>
    <r>
      <rPr>
        <b/>
        <sz val="10"/>
        <color rgb="FF222222"/>
        <rFont val="Arial"/>
        <family val="2"/>
        <scheme val="minor"/>
      </rPr>
      <t xml:space="preserve">approaching from the </t>
    </r>
    <r>
      <rPr>
        <b/>
        <sz val="10"/>
        <color rgb="FFEA4335"/>
        <rFont val="Arial"/>
        <family val="2"/>
        <scheme val="minor"/>
      </rPr>
      <t xml:space="preserve">right </t>
    </r>
    <r>
      <rPr>
        <sz val="10"/>
        <color rgb="FF222222"/>
        <rFont val="Arial"/>
        <family val="2"/>
        <scheme val="minor"/>
      </rPr>
      <t xml:space="preserve">and </t>
    </r>
    <r>
      <rPr>
        <b/>
        <sz val="10"/>
        <color rgb="FF222222"/>
        <rFont val="Arial"/>
        <family val="2"/>
        <scheme val="minor"/>
      </rPr>
      <t>turns left</t>
    </r>
    <r>
      <rPr>
        <sz val="10"/>
        <color rgb="FF222222"/>
        <rFont val="Arial"/>
        <family val="2"/>
        <scheme val="minor"/>
      </rPr>
      <t xml:space="preserve"> at the intersection.</t>
    </r>
  </si>
  <si>
    <r>
      <t>AV slows approach to intersection and stops because of</t>
    </r>
    <r>
      <rPr>
        <b/>
        <sz val="10"/>
        <color rgb="FF222222"/>
        <rFont val="Arial"/>
        <family val="2"/>
        <scheme val="minor"/>
      </rPr>
      <t xml:space="preserve"> oncoming traffic</t>
    </r>
    <r>
      <rPr>
        <sz val="10"/>
        <color rgb="FF222222"/>
        <rFont val="Arial"/>
        <family val="2"/>
        <scheme val="minor"/>
      </rPr>
      <t>. AV yields to oncoming TV and</t>
    </r>
    <r>
      <rPr>
        <b/>
        <sz val="10"/>
        <color rgb="FF222222"/>
        <rFont val="Arial"/>
        <family val="2"/>
        <scheme val="minor"/>
      </rPr>
      <t xml:space="preserve"> turns left</t>
    </r>
    <r>
      <rPr>
        <sz val="10"/>
        <color rgb="FF222222"/>
        <rFont val="Arial"/>
        <family val="2"/>
        <scheme val="minor"/>
      </rPr>
      <t xml:space="preserve"> across the intersection.</t>
    </r>
  </si>
  <si>
    <r>
      <t xml:space="preserve">AV slows approach to intersection and stops. AV begins </t>
    </r>
    <r>
      <rPr>
        <b/>
        <sz val="10"/>
        <color rgb="FF222222"/>
        <rFont val="Arial"/>
        <family val="2"/>
        <scheme val="minor"/>
      </rPr>
      <t>left turn</t>
    </r>
    <r>
      <rPr>
        <sz val="10"/>
        <color rgb="FF222222"/>
        <rFont val="Arial"/>
        <family val="2"/>
        <scheme val="minor"/>
      </rPr>
      <t xml:space="preserve"> and </t>
    </r>
    <r>
      <rPr>
        <b/>
        <sz val="10"/>
        <color rgb="FF222222"/>
        <rFont val="Arial"/>
        <family val="2"/>
        <scheme val="minor"/>
      </rPr>
      <t>yields to pedestrian</t>
    </r>
    <r>
      <rPr>
        <sz val="10"/>
        <color rgb="FF222222"/>
        <rFont val="Arial"/>
        <family val="2"/>
        <scheme val="minor"/>
      </rPr>
      <t xml:space="preserve"> target in the mapped lane</t>
    </r>
  </si>
  <si>
    <t>AV, without hesitation, proceeds turning left, once the pedestrian clears the intersection.</t>
  </si>
  <si>
    <r>
      <t>AV slows approach to intersection and stops. AV begins righ</t>
    </r>
    <r>
      <rPr>
        <b/>
        <sz val="10"/>
        <color rgb="FF222222"/>
        <rFont val="Arial"/>
        <family val="2"/>
        <scheme val="minor"/>
      </rPr>
      <t>t turn</t>
    </r>
    <r>
      <rPr>
        <sz val="10"/>
        <color rgb="FF222222"/>
        <rFont val="Arial"/>
        <family val="2"/>
        <scheme val="minor"/>
      </rPr>
      <t xml:space="preserve"> and </t>
    </r>
    <r>
      <rPr>
        <b/>
        <sz val="10"/>
        <color rgb="FF222222"/>
        <rFont val="Arial"/>
        <family val="2"/>
        <scheme val="minor"/>
      </rPr>
      <t>yields to pedestrian</t>
    </r>
    <r>
      <rPr>
        <sz val="10"/>
        <color rgb="FF222222"/>
        <rFont val="Arial"/>
        <family val="2"/>
        <scheme val="minor"/>
      </rPr>
      <t xml:space="preserve"> target in the mapped lane</t>
    </r>
  </si>
  <si>
    <t>AV, without hesitation, proceeds turning right, once the pedestrian clears the intersection.</t>
  </si>
  <si>
    <t>use case-remote start</t>
  </si>
  <si>
    <t>With the vehicle off, turn vehicle on using remote start.</t>
  </si>
  <si>
    <t>vehicle turns on using remote start, with no errors</t>
  </si>
  <si>
    <t>Remote start successful. Using Toughbook database, I was able to start the bus. Upon startup it takes 60 seconds before the Bus is fully operable and on, after the intial  start up process, and wait to start notification on the dash. See video. No log link available for this testing.</t>
  </si>
  <si>
    <t>With the vehicle off, and aligned with the route turn the vehicle on and transition to auto mode</t>
  </si>
  <si>
    <t>With the vehicle off, and not aligned with the route turn the vehicle on and attempt to transition to auto mode</t>
  </si>
  <si>
    <t>vehicle turns on using remote start, but does not engage in auto mode.</t>
  </si>
  <si>
    <t>With the vehicle off, and aligned with the route turn the vehicle on and transition to auto mode. Give a mission for the vehicle to begin driving</t>
  </si>
  <si>
    <t>vehicle turns on using remote start, with no errors, engages auto mode, and begins driving</t>
  </si>
  <si>
    <t>With the vehicle off, and not aligned with the route turn the vehicle on and attempt to transition to auto mode. if successful, give a mission to begin driving</t>
  </si>
  <si>
    <t>With the vehicle on, in auto mode, and driving, turn the vehicle off using remote stop</t>
  </si>
  <si>
    <t>vehicle stops, and turns off using remote stop</t>
  </si>
  <si>
    <t>With the vehicle on, in auto mode, and stopped, turn the vehicle off using remote stop</t>
  </si>
  <si>
    <t>vehicle turns off using remote stop.</t>
  </si>
  <si>
    <t>Remote stop successful. Using Toughbook database, I was able to turn off the bus. See video. No log link available for this testing.</t>
  </si>
  <si>
    <t>use case-bus wash</t>
  </si>
  <si>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dry lane lines relying on the Lidar technology. (outside bus wash)</t>
    </r>
  </si>
  <si>
    <t>The bus stays centered between the two lane lines</t>
  </si>
  <si>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t>
    </r>
    <r>
      <rPr>
        <i/>
        <sz val="10"/>
        <color rgb="FF222222"/>
        <rFont val="Arial"/>
        <family val="2"/>
        <scheme val="minor"/>
      </rPr>
      <t>wet lane lines</t>
    </r>
    <r>
      <rPr>
        <sz val="10"/>
        <color rgb="FF222222"/>
        <rFont val="Arial"/>
        <family val="2"/>
        <scheme val="minor"/>
      </rPr>
      <t xml:space="preserve"> relying on the Lidar technology.  (outside bus wash)</t>
    </r>
  </si>
  <si>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dry lane lines relying on the Lidar technology. (inside bus wash)</t>
    </r>
  </si>
  <si>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t>
    </r>
    <r>
      <rPr>
        <i/>
        <sz val="10"/>
        <color rgb="FF222222"/>
        <rFont val="Arial"/>
        <family val="2"/>
        <scheme val="minor"/>
      </rPr>
      <t>wet lane lines</t>
    </r>
    <r>
      <rPr>
        <sz val="10"/>
        <color rgb="FF222222"/>
        <rFont val="Arial"/>
        <family val="2"/>
        <scheme val="minor"/>
      </rPr>
      <t xml:space="preserve"> relying on the Lidar technology.  (inside bus wash)</t>
    </r>
  </si>
  <si>
    <t>use case-precision parking</t>
  </si>
  <si>
    <t>AV precisely parks in close proximity of the same spot, simulating parking under the Pantograph charger.</t>
  </si>
  <si>
    <t>Parking accuracy is plus or minus 12" in the lateral and longitudinal direction.</t>
  </si>
  <si>
    <t xml:space="preserve">Within 2" off laterally </t>
  </si>
  <si>
    <t>11-58-09</t>
  </si>
  <si>
    <t>overcast</t>
  </si>
  <si>
    <t>4" laterally 10" longitude</t>
  </si>
  <si>
    <t>11-59-45</t>
  </si>
  <si>
    <t>4" lateral 2" longitude</t>
  </si>
  <si>
    <t>12-01-28</t>
  </si>
  <si>
    <r>
      <t>AV precisely parks in the same spot, with another bus parked in the</t>
    </r>
    <r>
      <rPr>
        <b/>
        <sz val="10"/>
        <color rgb="FF222222"/>
        <rFont val="Arial"/>
        <family val="2"/>
        <scheme val="minor"/>
      </rPr>
      <t xml:space="preserve"> left adjacent</t>
    </r>
    <r>
      <rPr>
        <sz val="10"/>
        <color rgb="FF222222"/>
        <rFont val="Arial"/>
        <family val="2"/>
        <scheme val="minor"/>
      </rPr>
      <t xml:space="preserve">  parking space.</t>
    </r>
  </si>
  <si>
    <r>
      <t>AV precisely parks in the same spot, with another bus parked in the</t>
    </r>
    <r>
      <rPr>
        <b/>
        <sz val="10"/>
        <color rgb="FF222222"/>
        <rFont val="Arial"/>
        <family val="2"/>
        <scheme val="minor"/>
      </rPr>
      <t xml:space="preserve"> right adjacent</t>
    </r>
    <r>
      <rPr>
        <sz val="10"/>
        <color rgb="FF222222"/>
        <rFont val="Arial"/>
        <family val="2"/>
        <scheme val="minor"/>
      </rPr>
      <t xml:space="preserve">  parking space.</t>
    </r>
  </si>
  <si>
    <r>
      <t>AV precisely parks in the same spot, between two other buses, that are parked in the</t>
    </r>
    <r>
      <rPr>
        <b/>
        <sz val="10"/>
        <color rgb="FF222222"/>
        <rFont val="Arial"/>
        <family val="2"/>
        <scheme val="minor"/>
      </rPr>
      <t xml:space="preserve"> right and left adjacent</t>
    </r>
    <r>
      <rPr>
        <sz val="10"/>
        <color rgb="FF222222"/>
        <rFont val="Arial"/>
        <family val="2"/>
        <scheme val="minor"/>
      </rPr>
      <t xml:space="preserve"> parking spaces.</t>
    </r>
  </si>
  <si>
    <r>
      <t xml:space="preserve">AV running at </t>
    </r>
    <r>
      <rPr>
        <b/>
        <sz val="10"/>
        <color rgb="FF222222"/>
        <rFont val="Arial"/>
        <family val="2"/>
        <scheme val="minor"/>
      </rPr>
      <t>5 mph</t>
    </r>
    <r>
      <rPr>
        <sz val="10"/>
        <color rgb="FF222222"/>
        <rFont val="Arial"/>
        <family val="2"/>
        <scheme val="minor"/>
      </rPr>
      <t xml:space="preserve"> yard speed, parks itself centered at the end of the bus lane.</t>
    </r>
  </si>
  <si>
    <t>use case-charging</t>
  </si>
  <si>
    <t>Starting from direct alignment with the charger, the bus precision parks at the charger, and the charger is manually deployed to the bus.</t>
  </si>
  <si>
    <t>The bus parks under the charger, the charger is manually deployed, aligns properly, and the bus begins charging.</t>
  </si>
  <si>
    <t>Bus successfully completed mission with target range both latitude and longitude. Within 1"-2". Charger inoperable per Heliox issue</t>
  </si>
  <si>
    <t>12-09-47</t>
  </si>
  <si>
    <t>12-12-01</t>
  </si>
  <si>
    <t>12-13-03</t>
  </si>
  <si>
    <t>Starting from the lane of travel(offset from the charger), the bus precision parks at the charger, the charger is manually deployed to the bus.</t>
  </si>
  <si>
    <t>12-14-19</t>
  </si>
  <si>
    <t>12-15-57</t>
  </si>
  <si>
    <t>18" off longitude</t>
  </si>
  <si>
    <t>12-17-41</t>
  </si>
  <si>
    <t>Bus successfully completed mission with target range both latitude and longitude. Charger not working. Within 1-2"</t>
  </si>
  <si>
    <t>12-19-44</t>
  </si>
  <si>
    <t>Bus successfully completed mission with target range both latitude and longitude. Charger not working. Exact marking completed. Retest 3 marked as Not executed for summary table purposes</t>
  </si>
  <si>
    <t>Robustness</t>
  </si>
  <si>
    <t>Continuous Nominal Operation in ADS mode without an intervention for at least 30 minutes</t>
  </si>
  <si>
    <t>The AV should run the mission without driver intervention or being switched from auto to manual.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</si>
</sst>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yyyy\-mm\-dd"/>
    <numFmt numFmtId="166" formatCode="yyyy&quot;-&quot;mm&quot;-&quot;dd"/>
  </numFmts>
  <fonts count="24" x14ac:knownFonts="1">
    <font>
      <sz val="10"/>
      <color rgb="FF000000"/>
      <name val="Arial"/>
      <scheme val="minor"/>
    </font>
    <font>
      <b/>
      <sz val="10"/>
      <color rgb="FF222222"/>
      <name val="Arial"/>
      <family val="2"/>
      <scheme val="minor"/>
    </font>
    <font>
      <b/>
      <sz val="10"/>
      <color theme="1"/>
      <name val="Arial"/>
      <family val="2"/>
      <scheme val="minor"/>
    </font>
    <font>
      <sz val="10"/>
      <color theme="1"/>
      <name val="Arial"/>
      <family val="2"/>
      <scheme val="minor"/>
    </font>
    <font>
      <sz val="10"/>
      <color rgb="FF222222"/>
      <name val="Arial"/>
      <family val="2"/>
      <scheme val="minor"/>
    </font>
    <font>
      <sz val="10"/>
      <color rgb="FF1155CC"/>
      <name val="Arial"/>
      <family val="2"/>
      <scheme val="minor"/>
    </font>
    <font>
      <b/>
      <sz val="14"/>
      <color theme="1"/>
      <name val="Arial"/>
      <family val="2"/>
      <scheme val="minor"/>
    </font>
    <font>
      <sz val="10"/>
      <name val="Arial"/>
      <family val="2"/>
      <scheme val="minor"/>
    </font>
    <font>
      <b/>
      <sz val="10"/>
      <color rgb="FFEA4335"/>
      <name val="Arial"/>
      <family val="2"/>
      <scheme val="minor"/>
    </font>
    <font>
      <b/>
      <sz val="10"/>
      <color theme="5"/>
      <name val="Arial"/>
      <family val="2"/>
      <scheme val="minor"/>
    </font>
    <font>
      <sz val="10"/>
      <color theme="5"/>
      <name val="Arial"/>
      <family val="2"/>
      <scheme val="minor"/>
    </font>
    <font>
      <sz val="10"/>
      <color rgb="FF242424"/>
      <name val="Arial"/>
      <family val="2"/>
      <scheme val="minor"/>
    </font>
    <font>
      <i/>
      <sz val="10"/>
      <color rgb="FF222222"/>
      <name val="Arial"/>
      <family val="2"/>
      <scheme val="minor"/>
    </font>
    <font>
      <sz val="10"/>
      <color rgb="FF000000"/>
      <name val="Arial"/>
      <family val="2"/>
      <scheme val="minor"/>
    </font>
    <font>
      <sz val="8"/>
      <name val="Arial"/>
      <scheme val="minor"/>
    </font>
    <font>
      <sz val="11"/>
      <color rgb="FF242424"/>
      <name val="Arial"/>
      <family val="2"/>
      <scheme val="minor"/>
    </font>
    <font>
      <sz val="10"/>
      <color rgb="FFEA4335"/>
      <name val="Arial"/>
      <family val="2"/>
      <scheme val="minor"/>
    </font>
    <font>
      <sz val="10"/>
      <color rgb="FF242424"/>
      <name val="Arial"/>
    </font>
    <font>
      <sz val="10"/>
      <color rgb="FF222222"/>
      <name val="Arial"/>
    </font>
    <font>
      <sz val="10"/>
      <color rgb="FF000000"/>
      <name val="Arial"/>
    </font>
    <font>
      <sz val="10"/>
      <color theme="1"/>
      <name val="Arial"/>
    </font>
    <font>
      <b/>
      <sz val="10"/>
      <color theme="0"/>
      <name val="Arial"/>
      <family val="2"/>
      <scheme val="minor"/>
    </font>
    <font>
      <b/>
      <sz val="10"/>
      <color theme="0"/>
      <name val="Arial"/>
    </font>
    <font>
      <sz val="10"/>
      <color theme="0"/>
      <name val="Arial"/>
      <family val="2"/>
      <scheme val="minor"/>
    </font>
  </fonts>
  <fills count="7">
    <fill>
      <patternFill patternType="none"/>
    </fill>
    <fill>
      <patternFill patternType="gray125"/>
    </fill>
    <fill>
      <patternFill patternType="solid">
        <fgColor rgb="FFF3F3F3"/>
        <bgColor rgb="FFF3F3F3"/>
      </patternFill>
    </fill>
    <fill>
      <patternFill patternType="solid">
        <fgColor theme="4" tint="0.79998168889431442"/>
        <bgColor indexed="64"/>
      </patternFill>
    </fill>
    <fill>
      <patternFill patternType="solid">
        <fgColor theme="0" tint="-0.249977111117893"/>
        <bgColor rgb="FFF3F3F3"/>
      </patternFill>
    </fill>
    <fill>
      <patternFill patternType="solid">
        <fgColor theme="0" tint="-0.249977111117893"/>
        <bgColor indexed="64"/>
      </patternFill>
    </fill>
    <fill>
      <patternFill patternType="solid">
        <fgColor theme="2" tint="-4.9989318521683403E-2"/>
        <bgColor rgb="FFF3F3F3"/>
      </patternFill>
    </fill>
  </fills>
  <borders count="37">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rgb="FF000000"/>
      </right>
      <top style="thin">
        <color rgb="FF000000"/>
      </top>
      <bottom style="medium">
        <color rgb="FF000000"/>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style="medium">
        <color indexed="64"/>
      </left>
      <right style="thin">
        <color rgb="FF000000"/>
      </right>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indexed="64"/>
      </right>
      <top style="thin">
        <color rgb="FF000000"/>
      </top>
      <bottom style="medium">
        <color indexed="64"/>
      </bottom>
      <diagonal/>
    </border>
    <border>
      <left/>
      <right style="medium">
        <color indexed="64"/>
      </right>
      <top style="thin">
        <color rgb="FF000000"/>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rgb="FF000000"/>
      </bottom>
      <diagonal/>
    </border>
  </borders>
  <cellStyleXfs count="1">
    <xf numFmtId="0" fontId="0" fillId="0" borderId="0"/>
  </cellStyleXfs>
  <cellXfs count="108">
    <xf numFmtId="0" fontId="0" fillId="0" borderId="0" xfId="0"/>
    <xf numFmtId="0" fontId="3" fillId="0" borderId="0" xfId="0" applyFont="1"/>
    <xf numFmtId="0" fontId="2" fillId="2" borderId="1" xfId="0" applyFont="1" applyFill="1" applyBorder="1" applyAlignment="1">
      <alignment horizontal="center" wrapText="1"/>
    </xf>
    <xf numFmtId="0" fontId="2" fillId="2" borderId="1" xfId="0" applyFont="1" applyFill="1" applyBorder="1" applyAlignment="1">
      <alignment horizontal="center"/>
    </xf>
    <xf numFmtId="164" fontId="2" fillId="2" borderId="1" xfId="0" applyNumberFormat="1" applyFont="1" applyFill="1" applyBorder="1" applyAlignment="1">
      <alignment horizontal="center" wrapText="1"/>
    </xf>
    <xf numFmtId="0" fontId="8" fillId="0" borderId="0" xfId="0" applyFont="1"/>
    <xf numFmtId="0" fontId="2" fillId="2" borderId="3" xfId="0" applyFont="1" applyFill="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2" fillId="2" borderId="4" xfId="0" applyFont="1" applyFill="1" applyBorder="1" applyAlignment="1">
      <alignment wrapText="1"/>
    </xf>
    <xf numFmtId="0" fontId="2" fillId="2" borderId="6" xfId="0" applyFont="1" applyFill="1" applyBorder="1" applyAlignment="1">
      <alignment horizontal="center" wrapText="1"/>
    </xf>
    <xf numFmtId="0" fontId="0" fillId="2" borderId="6" xfId="0" applyFill="1" applyBorder="1"/>
    <xf numFmtId="0" fontId="3" fillId="2" borderId="6" xfId="0" applyFont="1" applyFill="1" applyBorder="1"/>
    <xf numFmtId="0" fontId="4" fillId="2" borderId="6" xfId="0" applyFont="1" applyFill="1" applyBorder="1" applyAlignment="1">
      <alignment wrapText="1"/>
    </xf>
    <xf numFmtId="0" fontId="4" fillId="2" borderId="6" xfId="0" applyFont="1" applyFill="1" applyBorder="1"/>
    <xf numFmtId="0" fontId="3" fillId="2" borderId="6" xfId="0" applyFont="1" applyFill="1" applyBorder="1" applyAlignment="1">
      <alignment wrapText="1"/>
    </xf>
    <xf numFmtId="0" fontId="3" fillId="2" borderId="16" xfId="0" applyFont="1" applyFill="1" applyBorder="1" applyAlignment="1">
      <alignment wrapText="1"/>
    </xf>
    <xf numFmtId="0" fontId="2" fillId="2" borderId="20" xfId="0" applyFont="1" applyFill="1" applyBorder="1" applyAlignment="1">
      <alignment horizontal="right"/>
    </xf>
    <xf numFmtId="0" fontId="2" fillId="2" borderId="21" xfId="0" applyFont="1" applyFill="1" applyBorder="1" applyAlignment="1">
      <alignment horizontal="right"/>
    </xf>
    <xf numFmtId="0" fontId="2" fillId="3" borderId="22" xfId="0" applyFont="1" applyFill="1" applyBorder="1" applyAlignment="1">
      <alignment horizontal="right"/>
    </xf>
    <xf numFmtId="0" fontId="2" fillId="3" borderId="23" xfId="0" applyFont="1" applyFill="1" applyBorder="1" applyAlignment="1">
      <alignment horizontal="center"/>
    </xf>
    <xf numFmtId="0" fontId="2" fillId="3" borderId="24" xfId="0" applyFont="1" applyFill="1" applyBorder="1" applyAlignment="1">
      <alignment horizontal="center"/>
    </xf>
    <xf numFmtId="0" fontId="3" fillId="2" borderId="5" xfId="0" applyFont="1" applyFill="1" applyBorder="1"/>
    <xf numFmtId="0" fontId="2" fillId="2" borderId="17" xfId="0" applyFont="1" applyFill="1" applyBorder="1"/>
    <xf numFmtId="0" fontId="2" fillId="2" borderId="18" xfId="0" applyFont="1" applyFill="1" applyBorder="1"/>
    <xf numFmtId="0" fontId="2" fillId="2" borderId="19" xfId="0" applyFont="1" applyFill="1" applyBorder="1"/>
    <xf numFmtId="0" fontId="3" fillId="2" borderId="25" xfId="0" applyFont="1" applyFill="1" applyBorder="1"/>
    <xf numFmtId="0" fontId="3" fillId="2" borderId="26" xfId="0" applyFont="1" applyFill="1" applyBorder="1"/>
    <xf numFmtId="0" fontId="3" fillId="2" borderId="27" xfId="0" applyFont="1" applyFill="1" applyBorder="1"/>
    <xf numFmtId="0" fontId="3" fillId="2" borderId="28" xfId="0" applyFont="1" applyFill="1" applyBorder="1"/>
    <xf numFmtId="0" fontId="3" fillId="2" borderId="29" xfId="0" applyFont="1" applyFill="1" applyBorder="1"/>
    <xf numFmtId="0" fontId="2" fillId="4" borderId="21" xfId="0" applyFont="1" applyFill="1" applyBorder="1" applyAlignment="1">
      <alignment horizontal="right"/>
    </xf>
    <xf numFmtId="164" fontId="2" fillId="4" borderId="30" xfId="0" applyNumberFormat="1" applyFont="1" applyFill="1" applyBorder="1" applyAlignment="1">
      <alignment horizontal="center"/>
    </xf>
    <xf numFmtId="0" fontId="13" fillId="0" borderId="2" xfId="0" applyFont="1" applyBorder="1" applyAlignment="1">
      <alignment wrapText="1"/>
    </xf>
    <xf numFmtId="0" fontId="3" fillId="4" borderId="0" xfId="0" applyFont="1" applyFill="1" applyAlignment="1">
      <alignment horizontal="center"/>
    </xf>
    <xf numFmtId="0" fontId="3" fillId="2" borderId="0" xfId="0" applyFont="1" applyFill="1" applyAlignment="1">
      <alignment horizontal="center"/>
    </xf>
    <xf numFmtId="0" fontId="2" fillId="2" borderId="34" xfId="0" applyFont="1" applyFill="1" applyBorder="1" applyAlignment="1">
      <alignment horizontal="center" wrapText="1"/>
    </xf>
    <xf numFmtId="164" fontId="2" fillId="4" borderId="35" xfId="0" applyNumberFormat="1" applyFont="1" applyFill="1" applyBorder="1" applyAlignment="1">
      <alignment horizontal="center"/>
    </xf>
    <xf numFmtId="164" fontId="2" fillId="6" borderId="30" xfId="0" applyNumberFormat="1" applyFont="1" applyFill="1" applyBorder="1" applyAlignment="1">
      <alignment horizontal="center"/>
    </xf>
    <xf numFmtId="164" fontId="2" fillId="4" borderId="36" xfId="0" applyNumberFormat="1" applyFont="1" applyFill="1" applyBorder="1" applyAlignment="1">
      <alignment horizontal="center"/>
    </xf>
    <xf numFmtId="10" fontId="2" fillId="3" borderId="33" xfId="0" applyNumberFormat="1" applyFont="1" applyFill="1" applyBorder="1" applyAlignment="1">
      <alignment horizontal="center"/>
    </xf>
    <xf numFmtId="0" fontId="13" fillId="0" borderId="0" xfId="0" applyFont="1" applyAlignment="1">
      <alignment wrapText="1"/>
    </xf>
    <xf numFmtId="0" fontId="13" fillId="0" borderId="10" xfId="0" applyFont="1" applyBorder="1" applyAlignment="1">
      <alignment wrapText="1"/>
    </xf>
    <xf numFmtId="0" fontId="3" fillId="0" borderId="2" xfId="0" applyFont="1" applyBorder="1" applyAlignment="1">
      <alignment horizontal="center" wrapText="1"/>
    </xf>
    <xf numFmtId="0" fontId="3" fillId="0" borderId="2" xfId="0" applyFont="1" applyBorder="1" applyAlignment="1">
      <alignment vertical="top" wrapText="1"/>
    </xf>
    <xf numFmtId="0" fontId="11" fillId="0" borderId="2" xfId="0" applyFont="1" applyBorder="1" applyAlignment="1">
      <alignment vertical="top" wrapText="1"/>
    </xf>
    <xf numFmtId="0" fontId="11" fillId="0" borderId="31" xfId="0" applyFont="1" applyBorder="1" applyAlignment="1">
      <alignment vertical="top" wrapText="1"/>
    </xf>
    <xf numFmtId="49" fontId="7" fillId="0" borderId="31" xfId="0" applyNumberFormat="1" applyFont="1" applyBorder="1" applyAlignment="1">
      <alignment horizontal="center" wrapText="1"/>
    </xf>
    <xf numFmtId="49" fontId="3" fillId="0" borderId="2" xfId="0" applyNumberFormat="1" applyFont="1" applyBorder="1" applyAlignment="1">
      <alignment horizontal="center" wrapText="1"/>
    </xf>
    <xf numFmtId="0" fontId="4" fillId="0" borderId="31" xfId="0" applyFont="1" applyBorder="1" applyAlignment="1">
      <alignment horizontal="center" wrapText="1"/>
    </xf>
    <xf numFmtId="14" fontId="13" fillId="0" borderId="31" xfId="0" applyNumberFormat="1" applyFont="1" applyBorder="1" applyAlignment="1">
      <alignment horizontal="center" wrapText="1"/>
    </xf>
    <xf numFmtId="0" fontId="13" fillId="0" borderId="31" xfId="0" applyFont="1" applyBorder="1" applyAlignment="1">
      <alignment wrapText="1"/>
    </xf>
    <xf numFmtId="0" fontId="3" fillId="0" borderId="11" xfId="0" applyFont="1" applyBorder="1" applyAlignment="1">
      <alignment horizontal="center" wrapText="1"/>
    </xf>
    <xf numFmtId="49" fontId="13" fillId="0" borderId="31" xfId="0" applyNumberFormat="1" applyFont="1" applyBorder="1" applyAlignment="1">
      <alignment horizontal="center" wrapText="1"/>
    </xf>
    <xf numFmtId="0" fontId="13" fillId="0" borderId="31" xfId="0" applyFont="1" applyBorder="1" applyAlignment="1">
      <alignment horizontal="center" wrapText="1"/>
    </xf>
    <xf numFmtId="0" fontId="4" fillId="0" borderId="2" xfId="0" applyFont="1" applyBorder="1" applyAlignment="1">
      <alignment horizontal="center" wrapText="1"/>
    </xf>
    <xf numFmtId="0" fontId="4" fillId="0" borderId="2" xfId="0" applyFont="1" applyBorder="1" applyAlignment="1">
      <alignment vertical="top" wrapText="1"/>
    </xf>
    <xf numFmtId="0" fontId="4" fillId="0" borderId="31" xfId="0" applyFont="1" applyBorder="1" applyAlignment="1">
      <alignment vertical="top" wrapText="1"/>
    </xf>
    <xf numFmtId="0" fontId="13" fillId="0" borderId="2" xfId="0" applyFont="1" applyBorder="1" applyAlignment="1">
      <alignment vertical="top" wrapText="1"/>
    </xf>
    <xf numFmtId="0" fontId="13" fillId="0" borderId="31" xfId="0" applyFont="1" applyBorder="1" applyAlignment="1">
      <alignment vertical="top" wrapText="1"/>
    </xf>
    <xf numFmtId="49" fontId="13" fillId="0" borderId="31" xfId="0" quotePrefix="1" applyNumberFormat="1" applyFont="1" applyBorder="1" applyAlignment="1">
      <alignment horizontal="center" wrapText="1"/>
    </xf>
    <xf numFmtId="49" fontId="5" fillId="0" borderId="2" xfId="0" applyNumberFormat="1" applyFont="1" applyBorder="1" applyAlignment="1">
      <alignment horizontal="center" wrapText="1"/>
    </xf>
    <xf numFmtId="0" fontId="13" fillId="0" borderId="2" xfId="0" applyFont="1" applyBorder="1" applyAlignment="1">
      <alignment horizontal="center" wrapText="1"/>
    </xf>
    <xf numFmtId="14" fontId="13" fillId="0" borderId="2" xfId="0" applyNumberFormat="1" applyFont="1" applyBorder="1" applyAlignment="1">
      <alignment horizontal="center" wrapText="1"/>
    </xf>
    <xf numFmtId="0" fontId="5" fillId="0" borderId="2" xfId="0" applyFont="1" applyBorder="1" applyAlignment="1">
      <alignment horizontal="center" wrapText="1"/>
    </xf>
    <xf numFmtId="0" fontId="4" fillId="0" borderId="2" xfId="0" applyFont="1" applyBorder="1" applyAlignment="1">
      <alignment wrapText="1"/>
    </xf>
    <xf numFmtId="0" fontId="13" fillId="0" borderId="9" xfId="0" applyFont="1" applyBorder="1" applyAlignment="1">
      <alignment wrapText="1"/>
    </xf>
    <xf numFmtId="0" fontId="2" fillId="0" borderId="9" xfId="0" applyFont="1" applyBorder="1" applyAlignment="1">
      <alignment wrapText="1"/>
    </xf>
    <xf numFmtId="165" fontId="3" fillId="0" borderId="2" xfId="0" applyNumberFormat="1" applyFont="1" applyBorder="1" applyAlignment="1">
      <alignment horizontal="center" wrapText="1"/>
    </xf>
    <xf numFmtId="0" fontId="15" fillId="0" borderId="2" xfId="0" applyFont="1" applyBorder="1" applyAlignment="1">
      <alignment vertical="top" wrapText="1"/>
    </xf>
    <xf numFmtId="0" fontId="3" fillId="0" borderId="9" xfId="0" applyFont="1" applyBorder="1" applyAlignment="1">
      <alignment wrapText="1"/>
    </xf>
    <xf numFmtId="14" fontId="3" fillId="0" borderId="2" xfId="0" applyNumberFormat="1" applyFont="1" applyBorder="1" applyAlignment="1">
      <alignment horizontal="center" wrapText="1"/>
    </xf>
    <xf numFmtId="0" fontId="13" fillId="0" borderId="32" xfId="0" applyFont="1" applyBorder="1" applyAlignment="1">
      <alignment vertical="top" wrapText="1"/>
    </xf>
    <xf numFmtId="0" fontId="7" fillId="0" borderId="2" xfId="0" applyFont="1" applyBorder="1" applyAlignment="1">
      <alignment horizontal="center" wrapText="1"/>
    </xf>
    <xf numFmtId="14" fontId="7" fillId="0" borderId="2" xfId="0" applyNumberFormat="1" applyFont="1" applyBorder="1" applyAlignment="1">
      <alignment horizontal="center" wrapText="1"/>
    </xf>
    <xf numFmtId="0" fontId="7" fillId="0" borderId="2" xfId="0" applyFont="1" applyBorder="1" applyAlignment="1">
      <alignment wrapText="1"/>
    </xf>
    <xf numFmtId="49" fontId="7" fillId="0" borderId="2" xfId="0" applyNumberFormat="1" applyFont="1" applyBorder="1" applyAlignment="1">
      <alignment horizontal="center" wrapText="1"/>
    </xf>
    <xf numFmtId="0" fontId="13" fillId="0" borderId="11" xfId="0" applyFont="1" applyBorder="1" applyAlignment="1">
      <alignment vertical="top" wrapText="1"/>
    </xf>
    <xf numFmtId="0" fontId="13" fillId="0" borderId="15" xfId="0" applyFont="1" applyBorder="1" applyAlignment="1">
      <alignment wrapText="1"/>
    </xf>
    <xf numFmtId="0" fontId="13" fillId="0" borderId="0" xfId="0" applyFont="1" applyAlignment="1">
      <alignment horizontal="center" wrapText="1"/>
    </xf>
    <xf numFmtId="49" fontId="7" fillId="0" borderId="0" xfId="0" applyNumberFormat="1" applyFont="1" applyAlignment="1">
      <alignment horizontal="center" wrapText="1"/>
    </xf>
    <xf numFmtId="49" fontId="13" fillId="0" borderId="0" xfId="0" applyNumberFormat="1" applyFont="1" applyAlignment="1">
      <alignment wrapText="1"/>
    </xf>
    <xf numFmtId="0" fontId="13" fillId="0" borderId="2" xfId="0" applyFont="1" applyBorder="1" applyAlignment="1">
      <alignment horizontal="left" vertical="top" wrapText="1"/>
    </xf>
    <xf numFmtId="0" fontId="13" fillId="0" borderId="31" xfId="0" applyFont="1" applyBorder="1" applyAlignment="1">
      <alignment horizontal="left" vertical="top" wrapText="1"/>
    </xf>
    <xf numFmtId="0" fontId="5" fillId="0" borderId="31" xfId="0" applyFont="1" applyBorder="1" applyAlignment="1">
      <alignment horizontal="center" wrapText="1"/>
    </xf>
    <xf numFmtId="0" fontId="17" fillId="0" borderId="2" xfId="0" applyFont="1" applyBorder="1" applyAlignment="1">
      <alignment vertical="top" wrapText="1"/>
    </xf>
    <xf numFmtId="0" fontId="18" fillId="0" borderId="2" xfId="0" applyFont="1" applyBorder="1" applyAlignment="1">
      <alignment vertical="top" wrapText="1"/>
    </xf>
    <xf numFmtId="0" fontId="19" fillId="0" borderId="2" xfId="0" applyFont="1" applyBorder="1" applyAlignment="1">
      <alignment vertical="top" wrapText="1"/>
    </xf>
    <xf numFmtId="0" fontId="19" fillId="0" borderId="2" xfId="0" applyFont="1" applyBorder="1" applyAlignment="1">
      <alignment horizontal="left" vertical="top" wrapText="1"/>
    </xf>
    <xf numFmtId="0" fontId="20" fillId="0" borderId="2" xfId="0" applyFont="1" applyBorder="1" applyAlignment="1">
      <alignment vertical="top" wrapText="1"/>
    </xf>
    <xf numFmtId="0" fontId="18" fillId="0" borderId="2" xfId="0" applyFont="1" applyBorder="1" applyAlignment="1">
      <alignment wrapText="1"/>
    </xf>
    <xf numFmtId="0" fontId="19" fillId="0" borderId="2" xfId="0" applyFont="1" applyBorder="1" applyAlignment="1">
      <alignment wrapText="1"/>
    </xf>
    <xf numFmtId="0" fontId="19" fillId="0" borderId="11" xfId="0" applyFont="1" applyBorder="1" applyAlignment="1">
      <alignment vertical="top" wrapText="1"/>
    </xf>
    <xf numFmtId="0" fontId="19" fillId="0" borderId="0" xfId="0" applyFont="1" applyAlignment="1">
      <alignment wrapText="1"/>
    </xf>
    <xf numFmtId="49" fontId="21" fillId="0" borderId="12" xfId="0" applyNumberFormat="1" applyFont="1" applyBorder="1" applyAlignment="1">
      <alignment vertical="center" wrapText="1"/>
    </xf>
    <xf numFmtId="0" fontId="21" fillId="0" borderId="13" xfId="0" applyFont="1" applyBorder="1" applyAlignment="1">
      <alignment horizontal="center" vertical="center" wrapText="1"/>
    </xf>
    <xf numFmtId="0" fontId="22" fillId="0" borderId="13" xfId="0" applyFont="1" applyBorder="1" applyAlignment="1">
      <alignment horizontal="center" vertical="center" wrapText="1"/>
    </xf>
    <xf numFmtId="49" fontId="21" fillId="0" borderId="13" xfId="0" applyNumberFormat="1" applyFont="1" applyBorder="1" applyAlignment="1">
      <alignment horizontal="center" vertical="center" wrapText="1"/>
    </xf>
    <xf numFmtId="0" fontId="21" fillId="0" borderId="14" xfId="0" applyFont="1" applyBorder="1" applyAlignment="1">
      <alignment horizontal="center" vertical="center" wrapText="1"/>
    </xf>
    <xf numFmtId="0" fontId="23" fillId="0" borderId="0" xfId="0" applyFont="1" applyAlignment="1">
      <alignment vertical="center" wrapText="1"/>
    </xf>
    <xf numFmtId="0" fontId="21" fillId="0" borderId="13" xfId="0" applyFont="1" applyBorder="1" applyAlignment="1">
      <alignment horizontal="center" wrapText="1"/>
    </xf>
    <xf numFmtId="49" fontId="21" fillId="0" borderId="13" xfId="0" applyNumberFormat="1" applyFont="1" applyBorder="1" applyAlignment="1">
      <alignment horizontal="center" wrapText="1"/>
    </xf>
    <xf numFmtId="166" fontId="3" fillId="0" borderId="2" xfId="0" applyNumberFormat="1" applyFont="1" applyBorder="1" applyAlignment="1">
      <alignment horizontal="center" wrapText="1"/>
    </xf>
    <xf numFmtId="0" fontId="13" fillId="0" borderId="11" xfId="0" applyFont="1" applyBorder="1" applyAlignment="1">
      <alignment horizontal="center" wrapText="1"/>
    </xf>
    <xf numFmtId="0" fontId="6" fillId="0" borderId="0" xfId="0" applyFont="1" applyAlignment="1">
      <alignment horizontal="center"/>
    </xf>
    <xf numFmtId="0" fontId="6" fillId="4" borderId="17" xfId="0" applyFont="1" applyFill="1" applyBorder="1" applyAlignment="1">
      <alignment horizontal="center"/>
    </xf>
    <xf numFmtId="0" fontId="7" fillId="5" borderId="18" xfId="0" applyFont="1" applyFill="1" applyBorder="1"/>
    <xf numFmtId="0" fontId="7" fillId="5" borderId="19" xfId="0" applyFont="1" applyFill="1" applyBorder="1"/>
  </cellXfs>
  <cellStyles count="1">
    <cellStyle name="Normal" xfId="0" builtinId="0"/>
  </cellStyles>
  <dxfs count="28">
    <dxf>
      <font>
        <color theme="1"/>
      </font>
      <fill>
        <patternFill patternType="solid">
          <fgColor theme="0"/>
          <bgColor theme="0"/>
        </patternFill>
      </fill>
    </dxf>
    <dxf>
      <fill>
        <patternFill patternType="solid">
          <fgColor rgb="FFFCE8B2"/>
          <bgColor rgb="FFFCE8B2"/>
        </patternFill>
      </fill>
    </dxf>
    <dxf>
      <fill>
        <patternFill patternType="solid">
          <fgColor theme="7" tint="0.79992065187536243"/>
          <bgColor theme="9" tint="0.79998168889431442"/>
        </patternFill>
      </fill>
    </dxf>
    <dxf>
      <fill>
        <patternFill patternType="solid">
          <fgColor rgb="FFFCE8B2"/>
          <bgColor rgb="FFFFFF00"/>
        </patternFill>
      </fill>
    </dxf>
    <dxf>
      <fill>
        <patternFill patternType="solid">
          <fgColor rgb="FFF4C7C3"/>
          <bgColor rgb="FFF4C7C3"/>
        </patternFill>
      </fill>
    </dxf>
    <dxf>
      <fill>
        <patternFill patternType="solid">
          <fgColor rgb="FFB7E1CD"/>
          <bgColor rgb="FFB7E1CD"/>
        </patternFill>
      </fill>
    </dxf>
    <dxf>
      <font>
        <strike val="0"/>
        <outline val="0"/>
        <shadow val="0"/>
        <vertAlign val="baseline"/>
        <color theme="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font>
        <strike val="0"/>
        <outline val="0"/>
        <shadow val="0"/>
        <vertAlign val="baseline"/>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30" formatCode="@"/>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30" formatCode="@"/>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30" formatCode="@"/>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vertAlign val="baseline"/>
        <name val="Arial"/>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vertAlign val="baseline"/>
        <sz val="10"/>
        <name val="Arial"/>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vertAlign val="baseline"/>
        <name val="Arial"/>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name val="Arial"/>
        <family val="2"/>
        <scheme val="minor"/>
      </font>
      <fill>
        <patternFill patternType="none">
          <fgColor indexed="64"/>
          <bgColor auto="1"/>
        </patternFill>
      </fill>
      <alignment wrapText="1"/>
    </dxf>
    <dxf>
      <border outline="0">
        <bottom style="thin">
          <color indexed="64"/>
        </bottom>
      </border>
    </dxf>
    <dxf>
      <font>
        <b/>
        <i val="0"/>
        <strike val="0"/>
        <condense val="0"/>
        <extend val="0"/>
        <outline val="0"/>
        <shadow val="0"/>
        <u val="none"/>
        <vertAlign val="baseline"/>
        <sz val="10"/>
        <color theme="0"/>
        <name val="Arial"/>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BDFBA91-ADB0-431B-A2E4-132A3A6822D0}" name="Table3" displayName="Table3" ref="A1:Q275" totalsRowShown="0" headerRowDxfId="27" dataDxfId="25" headerRowBorderDxfId="26" tableBorderDxfId="24" totalsRowBorderDxfId="23">
  <autoFilter ref="A1:Q275" xr:uid="{9BDFBA91-ADB0-431B-A2E4-132A3A6822D0}"/>
  <tableColumns count="17">
    <tableColumn id="1" xr3:uid="{921A9F55-49D2-4D6F-9C0A-1A74FAB79230}" name="Category" dataDxfId="22"/>
    <tableColumn id="2" xr3:uid="{5935F98A-287B-4500-A2EA-57E32486B7F3}" name="Test #" dataDxfId="21"/>
    <tableColumn id="3" xr3:uid="{942BBF9C-29B4-4F1C-9B6C-991114681FF5}" name="Test Description" dataDxfId="20"/>
    <tableColumn id="4" xr3:uid="{9B59189B-DDB2-4811-BDF5-FFFDBAEA3A03}" name="Expected Results" dataDxfId="19"/>
    <tableColumn id="5" xr3:uid="{78C86DA9-475C-4B55-87EB-45746ECB20A7}" name="Test Comments" dataDxfId="18"/>
    <tableColumn id="6" xr3:uid="{C77FD343-EB9B-46A7-BDB8-179BFA5D4521}" name="Test Result" dataDxfId="17"/>
    <tableColumn id="10" xr3:uid="{5FD8D699-229B-4DFE-A620-2288AA523A33}" name="Date" dataDxfId="16"/>
    <tableColumn id="21" xr3:uid="{A099F261-FEC4-4F50-A743-B02AE755400D}" name="Test Log Link" dataDxfId="15"/>
    <tableColumn id="9" xr3:uid="{E2064796-D4F8-48D6-A9ED-0959B568394C}" name="Test Eng(s)" dataDxfId="14"/>
    <tableColumn id="19" xr3:uid="{C6449800-416C-41A1-A2E2-AE7C40460F65}" name="Retest 1 Comments" dataDxfId="13"/>
    <tableColumn id="7" xr3:uid="{18C427A7-2AA1-4F54-A61C-B6E7E18815CA}" name="Retest 1 Result" dataDxfId="12"/>
    <tableColumn id="22" xr3:uid="{BF583E62-0EBD-4DF3-A893-BF3A78127233}" name="Retest 1 Log Link" dataDxfId="11"/>
    <tableColumn id="20" xr3:uid="{9790858B-9A5F-4911-B0FF-8C2B8DBF413B}" name="Retest 2 Comments" dataDxfId="10"/>
    <tableColumn id="8" xr3:uid="{B4A8C185-41A3-4AAD-9CD0-7C7A097C53CB}" name="Retest 2 Result" dataDxfId="9"/>
    <tableColumn id="23" xr3:uid="{B06AB65A-4643-4C02-9952-18B0695767AC}" name="Retest 2 Log Link" dataDxfId="8"/>
    <tableColumn id="16" xr3:uid="{1D960360-2275-44B0-8196-1383D6831163}" name="Speed" dataDxfId="7"/>
    <tableColumn id="18" xr3:uid="{D1DE7BAF-0872-4AF1-AD76-F019698E69AD}" name="Weather Conditions" dataDxfId="6"/>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outlinePr summaryBelow="0" summaryRight="0"/>
  </sheetPr>
  <dimension ref="A1:O23"/>
  <sheetViews>
    <sheetView zoomScaleNormal="100" workbookViewId="0">
      <selection activeCell="B22" sqref="B22"/>
    </sheetView>
  </sheetViews>
  <sheetFormatPr defaultColWidth="12.6640625" defaultRowHeight="13.2" x14ac:dyDescent="0.25"/>
  <cols>
    <col min="1" max="1" width="20.109375" customWidth="1"/>
    <col min="2" max="2" width="30.109375" customWidth="1"/>
    <col min="3" max="3" width="11.5546875" customWidth="1"/>
    <col min="4" max="4" width="16.6640625" customWidth="1"/>
    <col min="5" max="5" width="12.109375" customWidth="1"/>
    <col min="6" max="6" width="19.109375" customWidth="1"/>
    <col min="7" max="7" width="17.88671875" customWidth="1"/>
    <col min="8" max="8" width="7.88671875" customWidth="1"/>
    <col min="9" max="10" width="10.88671875" customWidth="1"/>
    <col min="11" max="12" width="7.88671875" customWidth="1"/>
    <col min="13" max="13" width="11.6640625" customWidth="1"/>
    <col min="14" max="14" width="39" customWidth="1"/>
    <col min="15" max="15" width="89.33203125" customWidth="1"/>
  </cols>
  <sheetData>
    <row r="1" spans="1:15" ht="13.8" thickBot="1" x14ac:dyDescent="0.3"/>
    <row r="2" spans="1:15" ht="17.399999999999999" x14ac:dyDescent="0.3">
      <c r="A2" s="104"/>
      <c r="B2" s="105" t="s">
        <v>1</v>
      </c>
      <c r="C2" s="106"/>
      <c r="D2" s="106"/>
      <c r="E2" s="106"/>
      <c r="F2" s="106"/>
      <c r="G2" s="106"/>
      <c r="H2" s="106"/>
      <c r="I2" s="106"/>
      <c r="J2" s="106"/>
      <c r="K2" s="106"/>
      <c r="L2" s="106"/>
      <c r="M2" s="106"/>
      <c r="N2" s="107"/>
      <c r="O2" s="9"/>
    </row>
    <row r="3" spans="1:15" ht="26.4" x14ac:dyDescent="0.25">
      <c r="A3" s="104"/>
      <c r="B3" s="17" t="s">
        <v>2</v>
      </c>
      <c r="C3" s="2" t="s">
        <v>3</v>
      </c>
      <c r="D3" s="3" t="s">
        <v>4</v>
      </c>
      <c r="E3" s="3" t="s">
        <v>5</v>
      </c>
      <c r="F3" s="3" t="s">
        <v>6</v>
      </c>
      <c r="G3" s="3" t="s">
        <v>7</v>
      </c>
      <c r="H3" s="2" t="s">
        <v>8</v>
      </c>
      <c r="I3" s="2" t="s">
        <v>9</v>
      </c>
      <c r="J3" s="2" t="s">
        <v>10</v>
      </c>
      <c r="K3" s="2" t="s">
        <v>11</v>
      </c>
      <c r="L3" s="2" t="s">
        <v>12</v>
      </c>
      <c r="M3" s="4" t="s">
        <v>13</v>
      </c>
      <c r="N3" s="36" t="s">
        <v>14</v>
      </c>
      <c r="O3" s="10" t="s">
        <v>15</v>
      </c>
    </row>
    <row r="4" spans="1:15" x14ac:dyDescent="0.25">
      <c r="A4" s="1"/>
      <c r="B4" s="31" t="s">
        <v>16</v>
      </c>
      <c r="C4" s="34">
        <f>COUNTIFS('Test Cases'!$A:$A,"Self Nav")</f>
        <v>12</v>
      </c>
      <c r="D4" s="34">
        <f>COUNTIFS('Test Cases'!$A:$A,"self nav", 'Test Cases'!$F:$F, "pass") + COUNTIFS('Test Cases'!$A:$A,"self nav", 'Test Cases'!$F:$F, "reviewed pass")</f>
        <v>9</v>
      </c>
      <c r="E4" s="34">
        <f>COUNTIFS('Test Cases'!$A:$A,"self nav",'Test Cases'!$F:$F,"fail")-$I4-$K4-$J4-$L4</f>
        <v>0</v>
      </c>
      <c r="F4" s="34">
        <f>COUNTIFS('Test Cases'!$A:$A,"self nav", 'Test Cases'!$F:$F, "needs investigation")</f>
        <v>0</v>
      </c>
      <c r="G4" s="34">
        <f>COUNTIFS('Test Cases'!$A:$A,"self nav",'Test Cases'!$F:$F, "reviewed pass") + COUNTIFS('Test Cases'!$A:$A,"self nav",'Test Cases'!$K:$K, "reviewed pass") + COUNTIFS('Test Cases'!$A:$A,"self nav",'Test Cases'!$N:$N, "reviewed pass")</f>
        <v>0</v>
      </c>
      <c r="H4" s="34">
        <f>COUNTIFS('Test Cases'!$A:$A,"self nav", 'Test Cases'!$F:$F, "defer")</f>
        <v>3</v>
      </c>
      <c r="I4" s="34">
        <f>COUNTIFS('Test Cases'!$A:$A,"self nav", 'Test Cases'!$K:$K, "pass") + COUNTIFS('Test Cases'!$A:$A,"self nav",'Test Cases'!$K:$K, "reviewed pass")</f>
        <v>0</v>
      </c>
      <c r="J4" s="34">
        <f>IF(AND(K4=0,L4=0,G4=0),COUNTIFS('Test Cases'!$A:$A,"self nav",'Test Cases'!$K:$K,"fail"),COUNTIFS('Test Cases'!$A:$A,"self nav",'Test Cases'!$K:$K,"fail")-$K4-L4)</f>
        <v>0</v>
      </c>
      <c r="K4" s="34">
        <f>COUNTIFS('Test Cases'!$A:$A,"self nav", 'Test Cases'!$N:$N, "pass") + COUNTIFS('Test Cases'!$A:$A,"self nav",'Test Cases'!$N:$N, "reviewed pass")</f>
        <v>0</v>
      </c>
      <c r="L4" s="34">
        <f>COUNTIFS('Test Cases'!$A:$A,"self nav", 'Test Cases'!$N:$N, "fail")</f>
        <v>0</v>
      </c>
      <c r="M4" s="34">
        <f>COUNTIFS('Test Cases'!$A:$A,"Self Nav",'Test Cases'!$F:$F, "not executed")</f>
        <v>0</v>
      </c>
      <c r="N4" s="37">
        <f>IF((($D4+$I4+$K4)+($J4+$E4+$L4))=0,"n/a",IF($M4/$C4&lt;&gt;1,($D4+$I4+$K4)/(($D4+$I4+$K4)+($J4+$E4+$L4)),"n/a"))</f>
        <v>1</v>
      </c>
      <c r="O4" s="11" t="s">
        <v>17</v>
      </c>
    </row>
    <row r="5" spans="1:15" x14ac:dyDescent="0.25">
      <c r="A5" s="1"/>
      <c r="B5" s="18" t="s">
        <v>18</v>
      </c>
      <c r="C5" s="35">
        <f>COUNTIFS('Test Cases'!$A:$A,"Mode Transitions")</f>
        <v>24</v>
      </c>
      <c r="D5" s="35">
        <f>COUNTIFS('Test Cases'!$A:$A,"mode transitions", 'Test Cases'!$F:$F, "pass") + COUNTIFS('Test Cases'!$A:$A,"mode transitions", 'Test Cases'!$F:$F, "reviewed pass")</f>
        <v>21</v>
      </c>
      <c r="E5" s="35">
        <f>COUNTIFS('Test Cases'!$A:$A,"mode transitions",'Test Cases'!$F:$F,"fail")-$I5-$K5-$J5-$L5</f>
        <v>0</v>
      </c>
      <c r="F5" s="35">
        <f>COUNTIFS('Test Cases'!$A:$A,"mode transitions", 'Test Cases'!$F:$F, "needs investigation")</f>
        <v>0</v>
      </c>
      <c r="G5" s="35">
        <f>COUNTIFS('Test Cases'!$A:$A,"mode transitions",'Test Cases'!$F:$F, "reviewed pass") + COUNTIFS('Test Cases'!$A:$A,"mode transitions",'Test Cases'!$K:$K, "reviewed pass") + COUNTIFS('Test Cases'!$A:$A,"mode transitions",'Test Cases'!$N:$N, "reviewed pass")</f>
        <v>0</v>
      </c>
      <c r="H5" s="35">
        <f>COUNTIFS('Test Cases'!$A:$A,"mode transitions", 'Test Cases'!$F:$F, "defer")</f>
        <v>3</v>
      </c>
      <c r="I5" s="35">
        <f>COUNTIFS('Test Cases'!$A:$A,"mode transitions", 'Test Cases'!$K:$K, "pass") + COUNTIFS('Test Cases'!$A:$A,"mode transitions",'Test Cases'!$K:$K, "reviewed pass")</f>
        <v>0</v>
      </c>
      <c r="J5" s="35">
        <f>IF(AND(K5=0,L5=0,G5=0),COUNTIFS('Test Cases'!$A:$A,"mode transitions",'Test Cases'!$K:$K,"fail"),COUNTIFS('Test Cases'!$A:$A,"mode transitions",'Test Cases'!$K:$K,"fail")-$K5-L5)</f>
        <v>0</v>
      </c>
      <c r="K5" s="35">
        <f>COUNTIFS('Test Cases'!$A:$A,"mode transitions", 'Test Cases'!$N:$N, "pass") + COUNTIFS('Test Cases'!$A:$A,"mode transitions",'Test Cases'!$N:$N, "reviewed pass")</f>
        <v>0</v>
      </c>
      <c r="L5" s="35">
        <f>COUNTIFS('Test Cases'!$A:$A,"mode transitions", 'Test Cases'!$N:$N, "fail")</f>
        <v>0</v>
      </c>
      <c r="M5" s="35">
        <f>COUNTIFS('Test Cases'!$A:$A,"Mode Transitions",'Test Cases'!$F:$F, "not executed")</f>
        <v>0</v>
      </c>
      <c r="N5" s="38">
        <f t="shared" ref="N5:N14" si="0">IF((($D5+$I5+$K5)+($J5+$E5+$L5))=0,"n/a",IF($M5/$C5&lt;&gt;1,($D5+$I5+$K5)/(($D5+$I5+$K5)+($J5+$E5+$L5)),"n/a"))</f>
        <v>1</v>
      </c>
      <c r="O5" s="11" t="s">
        <v>19</v>
      </c>
    </row>
    <row r="6" spans="1:15" x14ac:dyDescent="0.25">
      <c r="A6" s="1"/>
      <c r="B6" s="31" t="s">
        <v>20</v>
      </c>
      <c r="C6" s="34">
        <f>COUNTIFS('Test Cases'!$A:$A,"Path Following")</f>
        <v>21</v>
      </c>
      <c r="D6" s="34">
        <f>COUNTIFS('Test Cases'!$A:$A,"Path Following", 'Test Cases'!$F:$F, "pass") + COUNTIFS('Test Cases'!$A:$A,"Path Following", 'Test Cases'!$F:$F, "reviewed pass")</f>
        <v>0</v>
      </c>
      <c r="E6" s="34">
        <f>COUNTIFS('Test Cases'!$A:$A,"Path Following",'Test Cases'!$F:$F,"fail")-$I6-$K6-$J6-$L6</f>
        <v>0</v>
      </c>
      <c r="F6" s="34">
        <f>COUNTIFS('Test Cases'!$A:$A,"Path Following", 'Test Cases'!$F:$F, "needs investigation")</f>
        <v>0</v>
      </c>
      <c r="G6" s="34">
        <f>COUNTIFS('Test Cases'!$A:$A,"Path Following",'Test Cases'!$F:$F, "reviewed pass") + COUNTIFS('Test Cases'!$A:$A,"Path Following",'Test Cases'!$K:$K, "reviewed pass") + COUNTIFS('Test Cases'!$A:$A,"Path Following",'Test Cases'!$N:$N, "reviewed pass")</f>
        <v>0</v>
      </c>
      <c r="H6" s="34">
        <f>COUNTIFS('Test Cases'!$A:$A,"Path Following", 'Test Cases'!$F:$F, "defer")</f>
        <v>21</v>
      </c>
      <c r="I6" s="34">
        <f>COUNTIFS('Test Cases'!$A:$A,"Path Following", 'Test Cases'!$K:$K, "pass") + COUNTIFS('Test Cases'!$A:$A,"Path Following",'Test Cases'!$K:$K, "reviewed pass")</f>
        <v>0</v>
      </c>
      <c r="J6" s="34">
        <f>IF(AND(K6=0,L6=0,G6=0),COUNTIFS('Test Cases'!$A:$A,"Path Following",'Test Cases'!$K:$K,"fail"),COUNTIFS('Test Cases'!$A:$A,"Path Following",'Test Cases'!$K:$K,"fail")-$K6-L6)</f>
        <v>0</v>
      </c>
      <c r="K6" s="34">
        <f>COUNTIFS('Test Cases'!$A:$A,"Path Following", 'Test Cases'!$N:$N, "pass") + COUNTIFS('Test Cases'!$A:$A,"Path Following",'Test Cases'!$N:$N, "reviewed pass")</f>
        <v>0</v>
      </c>
      <c r="L6" s="34">
        <f>COUNTIFS('Test Cases'!$A:$A,"Path Following", 'Test Cases'!$N:$N, "fail")</f>
        <v>0</v>
      </c>
      <c r="M6" s="34">
        <f>COUNTIFS('Test Cases'!$A:$A,"Path Following",'Test Cases'!$F:$F, "not executed")</f>
        <v>0</v>
      </c>
      <c r="N6" s="32" t="str">
        <f t="shared" si="0"/>
        <v>n/a</v>
      </c>
      <c r="O6" s="12" t="s">
        <v>21</v>
      </c>
    </row>
    <row r="7" spans="1:15" x14ac:dyDescent="0.25">
      <c r="A7" s="1"/>
      <c r="B7" s="18" t="s">
        <v>22</v>
      </c>
      <c r="C7" s="35">
        <f>COUNTIFS('Test Cases'!$A:$A,"ODOA")</f>
        <v>90</v>
      </c>
      <c r="D7" s="35">
        <f>COUNTIFS('Test Cases'!$A:$A,"ODOA", 'Test Cases'!$F:$F, "pass") + COUNTIFS('Test Cases'!$A:$A,"ODOA", 'Test Cases'!$F:$F, "reviewed pass")</f>
        <v>81</v>
      </c>
      <c r="E7" s="35">
        <f>COUNTIFS('Test Cases'!$A:$A,"ODOA",'Test Cases'!$F:$F,"fail")-$I7-$K7-$J7-$L7</f>
        <v>0</v>
      </c>
      <c r="F7" s="35">
        <f>COUNTIFS('Test Cases'!$A:$A,"ODOA", 'Test Cases'!$F:$F, "needs investigation")</f>
        <v>0</v>
      </c>
      <c r="G7" s="35">
        <f>COUNTIFS('Test Cases'!$A:$A,"ODOA",'Test Cases'!$F:$F, "reviewed pass") + COUNTIFS('Test Cases'!$A:$A,"ODOA",'Test Cases'!$K:$K, "reviewed pass") + COUNTIFS('Test Cases'!$A:$A,"ODOA",'Test Cases'!$N:$N, "reviewed pass")</f>
        <v>0</v>
      </c>
      <c r="H7" s="35">
        <f>COUNTIFS('Test Cases'!$A:$A,"ODOA", 'Test Cases'!$F:$F, "defer")</f>
        <v>9</v>
      </c>
      <c r="I7" s="35">
        <f>COUNTIFS('Test Cases'!$A:$A,"ODOA", 'Test Cases'!$K:$K, "pass") + COUNTIFS('Test Cases'!$A:$A,"ODOA",'Test Cases'!$K:$K, "reviewed pass")</f>
        <v>0</v>
      </c>
      <c r="J7" s="35">
        <f>IF(AND(K7=0,L7=0,G7=0),COUNTIFS('Test Cases'!$A:$A,"ODOA",'Test Cases'!$K:$K,"fail"),COUNTIFS('Test Cases'!$A:$A,"ODOA",'Test Cases'!$K:$K,"fail")-$K7-L7)</f>
        <v>0</v>
      </c>
      <c r="K7" s="35">
        <f>COUNTIFS('Test Cases'!$A:$A,"ODOA", 'Test Cases'!$N:$N, "pass") + COUNTIFS('Test Cases'!$A:$A,"ODOA",'Test Cases'!$N:$N, "reviewed pass")</f>
        <v>0</v>
      </c>
      <c r="L7" s="35">
        <f>COUNTIFS('Test Cases'!$A:$A,"ODOA", 'Test Cases'!$N:$N, "fail")</f>
        <v>0</v>
      </c>
      <c r="M7" s="35">
        <f>COUNTIFS('Test Cases'!$A:$A,"ODOA",'Test Cases'!$F:$F, "not executed")</f>
        <v>0</v>
      </c>
      <c r="N7" s="38">
        <f t="shared" si="0"/>
        <v>1</v>
      </c>
      <c r="O7" s="13" t="s">
        <v>23</v>
      </c>
    </row>
    <row r="8" spans="1:15" x14ac:dyDescent="0.25">
      <c r="A8" s="1"/>
      <c r="B8" s="31" t="s">
        <v>24</v>
      </c>
      <c r="C8" s="34">
        <f>COUNTIFS('Test Cases'!$A:$A,"Following, pacing, stopping")</f>
        <v>15</v>
      </c>
      <c r="D8" s="34">
        <f>COUNTIFS('Test Cases'!$A:$A,"following, pacing, stopping", 'Test Cases'!$F:$F, "pass") + COUNTIFS('Test Cases'!$A:$A,"following, pacing, stopping", 'Test Cases'!$F:$F, "reviewed pass")</f>
        <v>0</v>
      </c>
      <c r="E8" s="34">
        <f>COUNTIFS('Test Cases'!$A:$A,"following, pacing, stopping",'Test Cases'!$F:$F,"fail")-$I8-$K8-$J8-$L8</f>
        <v>0</v>
      </c>
      <c r="F8" s="34">
        <f>COUNTIFS('Test Cases'!$A:$A,"following, pacing, stopping", 'Test Cases'!$F:$F, "needs investigation")</f>
        <v>0</v>
      </c>
      <c r="G8" s="34">
        <f>COUNTIFS('Test Cases'!$A:$A,"following, pacing, stopping",'Test Cases'!$F:$F, "reviewed pass") + COUNTIFS('Test Cases'!$A:$A,"following, pacing, stopping",'Test Cases'!$K:$K, "reviewed pass") + COUNTIFS('Test Cases'!$A:$A,"following, pacing, stopping",'Test Cases'!$N:$N, "reviewed pass")</f>
        <v>0</v>
      </c>
      <c r="H8" s="34">
        <f>COUNTIFS('Test Cases'!$A:$A,"following, pacing, stopping", 'Test Cases'!$F:$F, "defer")</f>
        <v>15</v>
      </c>
      <c r="I8" s="34">
        <f>COUNTIFS('Test Cases'!$A:$A,"following, pacing, stopping", 'Test Cases'!$K:$K, "pass") + COUNTIFS('Test Cases'!$A:$A,"following, pacing, stopping",'Test Cases'!$K:$K, "reviewed pass")</f>
        <v>0</v>
      </c>
      <c r="J8" s="34">
        <f>IF(AND(K8=0,L8=0,G8=0),COUNTIFS('Test Cases'!$A:$A,"following, pacing, stopping",'Test Cases'!$K:$K,"fail"),COUNTIFS('Test Cases'!$A:$A,"following, pacing, stopping",'Test Cases'!$K:$K,"fail")-$K8-L8)</f>
        <v>0</v>
      </c>
      <c r="K8" s="34">
        <f>COUNTIFS('Test Cases'!$A:$A,"following, pacing, stopping", 'Test Cases'!$N:$N, "pass") + COUNTIFS('Test Cases'!$A:$A,"following, pacing, stopping",'Test Cases'!$N:$N, "reviewed pass")</f>
        <v>0</v>
      </c>
      <c r="L8" s="34">
        <f>COUNTIFS('Test Cases'!$A:$A,"following, pacing, stopping", 'Test Cases'!$N:$N, "fail")</f>
        <v>0</v>
      </c>
      <c r="M8" s="34">
        <f>COUNTIFS('Test Cases'!$A:$A,"following, pacing, stopping",'Test Cases'!$F:$F, "not executed")</f>
        <v>0</v>
      </c>
      <c r="N8" s="32" t="str">
        <f t="shared" si="0"/>
        <v>n/a</v>
      </c>
      <c r="O8" s="13" t="s">
        <v>25</v>
      </c>
    </row>
    <row r="9" spans="1:15" x14ac:dyDescent="0.25">
      <c r="A9" s="1"/>
      <c r="B9" s="18" t="s">
        <v>26</v>
      </c>
      <c r="C9" s="35">
        <f>COUNTIFS('Test Cases'!$A:$A,"intersections")</f>
        <v>42</v>
      </c>
      <c r="D9" s="35">
        <f>COUNTIFS('Test Cases'!$A:$A,"intersections", 'Test Cases'!$F:$F, "pass") + COUNTIFS('Test Cases'!$A:$A,"intersections", 'Test Cases'!$F:$F, "reviewed pass")</f>
        <v>0</v>
      </c>
      <c r="E9" s="35">
        <f>COUNTIFS('Test Cases'!$A:$A,"intersections",'Test Cases'!$F:$F,"fail")-$I9-$K9-$J9-$L9</f>
        <v>0</v>
      </c>
      <c r="F9" s="35">
        <f>COUNTIFS('Test Cases'!$A:$A,"intersections", 'Test Cases'!$F:$F, "needs investigation")</f>
        <v>0</v>
      </c>
      <c r="G9" s="35">
        <f>COUNTIFS('Test Cases'!$A:$A,"intersections",'Test Cases'!$F:$F, "reviewed pass") + COUNTIFS('Test Cases'!$A:$A,"intersections",'Test Cases'!$K:$K, "reviewed pass") + COUNTIFS('Test Cases'!$A:$A,"intersections",'Test Cases'!$N:$N, "reviewed pass")</f>
        <v>0</v>
      </c>
      <c r="H9" s="35">
        <f>COUNTIFS('Test Cases'!$A:$A,"intersections", 'Test Cases'!$F:$F, "defer")</f>
        <v>42</v>
      </c>
      <c r="I9" s="35">
        <f>COUNTIFS('Test Cases'!$A:$A,"intersections", 'Test Cases'!$K:$K, "pass") + COUNTIFS('Test Cases'!$A:$A,"intersections",'Test Cases'!$K:$K, "reviewed pass")</f>
        <v>0</v>
      </c>
      <c r="J9" s="35">
        <f>IF(AND(K9=0,L9=0,G9=0),COUNTIFS('Test Cases'!$A:$A,"intersections",'Test Cases'!$K:$K,"fail"),COUNTIFS('Test Cases'!$A:$A,"intersections",'Test Cases'!$K:$K,"fail")-$K9-L9)</f>
        <v>0</v>
      </c>
      <c r="K9" s="35">
        <f>COUNTIFS('Test Cases'!$A:$A,"intersections", 'Test Cases'!$N:$N, "pass") + COUNTIFS('Test Cases'!$A:$A,"intersections",'Test Cases'!$N:$N, "reviewed pass")</f>
        <v>0</v>
      </c>
      <c r="L9" s="35">
        <f>COUNTIFS('Test Cases'!$A:$A,"intersections", 'Test Cases'!$N:$N, "fail")</f>
        <v>0</v>
      </c>
      <c r="M9" s="35">
        <f>COUNTIFS('Test Cases'!$A:$A,"intersections",'Test Cases'!$F:$F, "not executed")</f>
        <v>0</v>
      </c>
      <c r="N9" s="38" t="str">
        <f t="shared" si="0"/>
        <v>n/a</v>
      </c>
      <c r="O9" s="14" t="s">
        <v>27</v>
      </c>
    </row>
    <row r="10" spans="1:15" x14ac:dyDescent="0.25">
      <c r="A10" s="5"/>
      <c r="B10" s="31" t="s">
        <v>28</v>
      </c>
      <c r="C10" s="34">
        <f>COUNTIFS('Test Cases'!$A:$A,"use case-remote start")</f>
        <v>21</v>
      </c>
      <c r="D10" s="34">
        <f>COUNTIFS('Test Cases'!$A:$A,"use case-remote start", 'Test Cases'!$F:$F, "pass") + COUNTIFS('Test Cases'!$A:$A,"use case-remote start", 'Test Cases'!$F:$F, "reviewed pass")</f>
        <v>6</v>
      </c>
      <c r="E10" s="34">
        <f>COUNTIFS('Test Cases'!$A:$A,"use case-remote start",'Test Cases'!$F:$F,"fail")-$I10-$K10-$J10-$L10</f>
        <v>0</v>
      </c>
      <c r="F10" s="34">
        <f>COUNTIFS('Test Cases'!$A:$A,"use case-remote start", 'Test Cases'!$F:$F, "needs investigation")</f>
        <v>0</v>
      </c>
      <c r="G10" s="34">
        <f>COUNTIFS('Test Cases'!$A:$A,"use case-remote start",'Test Cases'!$F:$F, "reviewed pass") + COUNTIFS('Test Cases'!$A:$A,"use case-remote start",'Test Cases'!$K:$K, "reviewed pass") + COUNTIFS('Test Cases'!$A:$A,"use case-remote start",'Test Cases'!$N:$N, "reviewed pass")</f>
        <v>0</v>
      </c>
      <c r="H10" s="34">
        <f>COUNTIFS('Test Cases'!$A:$A,"use case-remote start", 'Test Cases'!$F:$F, "defer")</f>
        <v>15</v>
      </c>
      <c r="I10" s="34">
        <f>COUNTIFS('Test Cases'!$A:$A,"use case-remote start", 'Test Cases'!$K:$K, "pass") + COUNTIFS('Test Cases'!$A:$A,"use case-remote start",'Test Cases'!$K:$K, "reviewed pass")</f>
        <v>0</v>
      </c>
      <c r="J10" s="34">
        <f>IF(AND(K10=0,L10=0,G10=0),COUNTIFS('Test Cases'!$A:$A,"use case-remote start",'Test Cases'!$K:$K,"fail"),COUNTIFS('Test Cases'!$A:$A,"use case-remote start",'Test Cases'!$K:$K,"fail")-$K10-L10)</f>
        <v>0</v>
      </c>
      <c r="K10" s="34">
        <f>COUNTIFS('Test Cases'!$A:$A,"use case-remote start", 'Test Cases'!$N:$N, "pass") + COUNTIFS('Test Cases'!$A:$A,"use case-remote start",'Test Cases'!$N:$N, "reviewed pass")</f>
        <v>0</v>
      </c>
      <c r="L10" s="34">
        <f>COUNTIFS('Test Cases'!$A:$A,"use case-remote start", 'Test Cases'!$N:$N, "fail")</f>
        <v>0</v>
      </c>
      <c r="M10" s="34">
        <f>COUNTIFS('Test Cases'!$A:$A,"use case-remote start",'Test Cases'!$F:$F, "not executed")</f>
        <v>0</v>
      </c>
      <c r="N10" s="32">
        <f t="shared" si="0"/>
        <v>1</v>
      </c>
      <c r="O10" s="15" t="s">
        <v>29</v>
      </c>
    </row>
    <row r="11" spans="1:15" x14ac:dyDescent="0.25">
      <c r="A11" s="5"/>
      <c r="B11" s="18" t="s">
        <v>30</v>
      </c>
      <c r="C11" s="35">
        <f>COUNTIFS('Test Cases'!$A:$A,"use case-bus wash")</f>
        <v>12</v>
      </c>
      <c r="D11" s="35">
        <f>COUNTIFS('Test Cases'!$A:$A,"use case-bus wash", 'Test Cases'!$F:$F, "pass") + COUNTIFS('Test Cases'!$A:$A,"use case-bus wash", 'Test Cases'!$F:$F, "reviewed pass")</f>
        <v>0</v>
      </c>
      <c r="E11" s="35">
        <f>COUNTIFS('Test Cases'!$A:$A,"use case-bus wash",'Test Cases'!$F:$F,"fail")-$I11-$K11-$J11-$L11</f>
        <v>0</v>
      </c>
      <c r="F11" s="35">
        <f>COUNTIFS('Test Cases'!$A:$A,"use case-bus wash", 'Test Cases'!$F:$F, "needs investigation")</f>
        <v>0</v>
      </c>
      <c r="G11" s="35">
        <f>COUNTIFS('Test Cases'!$A:$A,"use case-bus wash",'Test Cases'!$F:$F, "reviewed pass") + COUNTIFS('Test Cases'!$A:$A,"use case-bus wash",'Test Cases'!$K:$K, "reviewed pass") + COUNTIFS('Test Cases'!$A:$A,"use case-bus wash",'Test Cases'!$N:$N, "reviewed pass")</f>
        <v>0</v>
      </c>
      <c r="H11" s="35">
        <f>COUNTIFS('Test Cases'!$A:$A,"use case-bus wash", 'Test Cases'!$F:$F, "defer")</f>
        <v>12</v>
      </c>
      <c r="I11" s="35">
        <f>COUNTIFS('Test Cases'!$A:$A,"use case-bus wash", 'Test Cases'!$K:$K, "pass") + COUNTIFS('Test Cases'!$A:$A,"use case-bus wash",'Test Cases'!$K:$K, "reviewed pass")</f>
        <v>0</v>
      </c>
      <c r="J11" s="35">
        <f>IF(AND(K11=0,L11=0,G11=0),COUNTIFS('Test Cases'!$A:$A,"use case-bus wash",'Test Cases'!$K:$K,"fail"),COUNTIFS('Test Cases'!$A:$A,"use case-bus wash",'Test Cases'!$K:$K,"fail")-$K11-L11)</f>
        <v>0</v>
      </c>
      <c r="K11" s="35">
        <f>COUNTIFS('Test Cases'!$A:$A,"use case-bus wash", 'Test Cases'!$N:$N, "pass") + COUNTIFS('Test Cases'!$A:$A,"use case-bus wash",'Test Cases'!$N:$N, "reviewed pass")</f>
        <v>0</v>
      </c>
      <c r="L11" s="35">
        <f>COUNTIFS('Test Cases'!$A:$A,"use case-bus wash", 'Test Cases'!$N:$N, "fail")</f>
        <v>0</v>
      </c>
      <c r="M11" s="35">
        <f>COUNTIFS('Test Cases'!$A:$A,"use case-bus wash",'Test Cases'!$F:$F, "not executed")</f>
        <v>0</v>
      </c>
      <c r="N11" s="38" t="str">
        <f t="shared" si="0"/>
        <v>n/a</v>
      </c>
      <c r="O11" s="15" t="s">
        <v>31</v>
      </c>
    </row>
    <row r="12" spans="1:15" x14ac:dyDescent="0.25">
      <c r="A12" s="5"/>
      <c r="B12" s="31" t="s">
        <v>32</v>
      </c>
      <c r="C12" s="34">
        <f>COUNTIFS('Test Cases'!$A:$A,"use case-charging")</f>
        <v>6</v>
      </c>
      <c r="D12" s="34">
        <f>COUNTIFS('Test Cases'!$A:$A,"use case-charging", 'Test Cases'!$F:$F, "pass") + COUNTIFS('Test Cases'!$A:$A,"use case-charging", 'Test Cases'!$F:$F, "reviewed pass")</f>
        <v>5</v>
      </c>
      <c r="E12" s="34">
        <f>COUNTIFS('Test Cases'!$A:$A,"use case-charging",'Test Cases'!$F:$F,"fail")-$I12-$K12-$J12-$L12</f>
        <v>0</v>
      </c>
      <c r="F12" s="34">
        <f>COUNTIFS('Test Cases'!$A:$A,"use case-charging", 'Test Cases'!$F:$F, "needs investigation")</f>
        <v>0</v>
      </c>
      <c r="G12" s="34">
        <f>COUNTIFS('Test Cases'!$A:$A,"use case-charging",'Test Cases'!$F:$F, "reviewed pass") + COUNTIFS('Test Cases'!$A:$A,"use case-charging",'Test Cases'!$K:$K, "reviewed pass") + COUNTIFS('Test Cases'!$A:$A,"use case-charging",'Test Cases'!$N:$N, "reviewed pass")</f>
        <v>0</v>
      </c>
      <c r="H12" s="34">
        <f>COUNTIFS('Test Cases'!$A:$A,"use case-charging", 'Test Cases'!$F:$F, "defer")</f>
        <v>0</v>
      </c>
      <c r="I12" s="34">
        <f>COUNTIFS('Test Cases'!$A:$A,"use case-charging", 'Test Cases'!$K:$K, "pass") + COUNTIFS('Test Cases'!$A:$A,"use case-charging",'Test Cases'!$K:$K, "reviewed pass")</f>
        <v>1</v>
      </c>
      <c r="J12" s="34">
        <f>IF(AND(K12=0,L12=0,G12=0),COUNTIFS('Test Cases'!$A:$A,"use case-charging",'Test Cases'!$K:$K,"fail"),COUNTIFS('Test Cases'!$A:$A,"use case-charging",'Test Cases'!$K:$K,"fail")-$K12-L12)</f>
        <v>0</v>
      </c>
      <c r="K12" s="34">
        <f>COUNTIFS('Test Cases'!$A:$A,"use case-charging", 'Test Cases'!$N:$N, "pass") + COUNTIFS('Test Cases'!$A:$A,"use case-charging",'Test Cases'!$N:$N, "reviewed pass")</f>
        <v>0</v>
      </c>
      <c r="L12" s="34">
        <f>COUNTIFS('Test Cases'!$A:$A,"use case-charging", 'Test Cases'!$N:$N, "fail")</f>
        <v>0</v>
      </c>
      <c r="M12" s="34">
        <f>COUNTIFS('Test Cases'!$A:$A,"use case-charging",'Test Cases'!$F:$F, "not executed")</f>
        <v>0</v>
      </c>
      <c r="N12" s="32">
        <f t="shared" si="0"/>
        <v>1</v>
      </c>
      <c r="O12" s="15" t="s">
        <v>33</v>
      </c>
    </row>
    <row r="13" spans="1:15" x14ac:dyDescent="0.25">
      <c r="A13" s="5"/>
      <c r="B13" s="18" t="s">
        <v>34</v>
      </c>
      <c r="C13" s="35">
        <f>COUNTIFS('Test Cases'!$A:$A,"use case-precision parking")</f>
        <v>15</v>
      </c>
      <c r="D13" s="35">
        <f>COUNTIFS('Test Cases'!$A:$A,"use case-precision parking", 'Test Cases'!$F:$F, "pass") + COUNTIFS('Test Cases'!$A:$A,"use case-precision parking", 'Test Cases'!$F:$F, "reviewed pass")</f>
        <v>3</v>
      </c>
      <c r="E13" s="35">
        <f>COUNTIFS('Test Cases'!$A:$A,"use case-precision parking",'Test Cases'!$F:$F,"fail")-$I13-$K13-$J13-$L13</f>
        <v>0</v>
      </c>
      <c r="F13" s="35">
        <f>COUNTIFS('Test Cases'!$A:$A,"use case-precision parking", 'Test Cases'!$F:$F, "needs investigation")</f>
        <v>0</v>
      </c>
      <c r="G13" s="35">
        <f>COUNTIFS('Test Cases'!$A:$A,"use case-precision parking",'Test Cases'!$F:$F, "reviewed pass") + COUNTIFS('Test Cases'!$A:$A,"use case-precision parking",'Test Cases'!$K:$K, "reviewed pass") + COUNTIFS('Test Cases'!$A:$A,"use case-precision parking",'Test Cases'!$N:$N, "reviewed pass")</f>
        <v>0</v>
      </c>
      <c r="H13" s="35">
        <f>COUNTIFS('Test Cases'!$A:$A,"use case-precision parking", 'Test Cases'!$F:$F, "defer")</f>
        <v>12</v>
      </c>
      <c r="I13" s="35">
        <f>COUNTIFS('Test Cases'!$A:$A,"use case-precision parking", 'Test Cases'!$K:$K, "pass") + COUNTIFS('Test Cases'!$A:$A,"use case-precision parking",'Test Cases'!$K:$K, "reviewed pass")</f>
        <v>0</v>
      </c>
      <c r="J13" s="35">
        <f>IF(AND(K13=0,L13=0,G13=0),COUNTIFS('Test Cases'!$A:$A,"use case-precision parking",'Test Cases'!$K:$K,"fail"),COUNTIFS('Test Cases'!$A:$A,"use case-precision parking",'Test Cases'!$K:$K,"fail")-$K13-L13)</f>
        <v>0</v>
      </c>
      <c r="K13" s="35">
        <f>COUNTIFS('Test Cases'!$A:$A,"use case-precision parking", 'Test Cases'!$N:$N, "pass") + COUNTIFS('Test Cases'!$A:$A,"use case-precision parking",'Test Cases'!$N:$N, "reviewed pass")</f>
        <v>0</v>
      </c>
      <c r="L13" s="35">
        <f>COUNTIFS('Test Cases'!$A:$A,"use case-precision parking", 'Test Cases'!$N:$N, "fail")</f>
        <v>0</v>
      </c>
      <c r="M13" s="35">
        <f>COUNTIFS('Test Cases'!$A:$A,"use case-precision parking",'Test Cases'!$F:$F, "not executed")</f>
        <v>0</v>
      </c>
      <c r="N13" s="38">
        <f t="shared" si="0"/>
        <v>1</v>
      </c>
      <c r="O13" s="15" t="s">
        <v>35</v>
      </c>
    </row>
    <row r="14" spans="1:15" ht="13.8" thickBot="1" x14ac:dyDescent="0.3">
      <c r="A14" s="5"/>
      <c r="B14" s="31" t="s">
        <v>36</v>
      </c>
      <c r="C14" s="34">
        <f>COUNTIFS('Test Cases'!$A:$A,"robustness")</f>
        <v>16</v>
      </c>
      <c r="D14" s="34">
        <f>COUNTIFS('Test Cases'!$A:$A,"robustness", 'Test Cases'!$F:$F, "pass") + COUNTIFS('Test Cases'!$A:$A,"robustness", 'Test Cases'!$F:$F, "reviewed pass")</f>
        <v>0</v>
      </c>
      <c r="E14" s="34">
        <f>COUNTIFS('Test Cases'!$A:$A,"robustness",'Test Cases'!$F:$F,"fail")-$I14-$K14-$J14-$L14</f>
        <v>0</v>
      </c>
      <c r="F14" s="34">
        <f>COUNTIFS('Test Cases'!$A:$A,"robustness", 'Test Cases'!$F:$F, "needs investigation")</f>
        <v>0</v>
      </c>
      <c r="G14" s="34">
        <f>COUNTIFS('Test Cases'!$A:$A,"robustness",'Test Cases'!$F:$F, "reviewed pass") + COUNTIFS('Test Cases'!$A:$A,"robustness",'Test Cases'!$K:$K, "reviewed pass") + COUNTIFS('Test Cases'!$A:$A,"robustness",'Test Cases'!$N:$N, "reviewed pass")</f>
        <v>0</v>
      </c>
      <c r="H14" s="34">
        <f>COUNTIFS('Test Cases'!$A:$A,"robustness", 'Test Cases'!$F:$F, "defer")</f>
        <v>16</v>
      </c>
      <c r="I14" s="34">
        <f>COUNTIFS('Test Cases'!$A:$A,"robustness", 'Test Cases'!$K:$K, "pass") + COUNTIFS('Test Cases'!$A:$A,"robustness",'Test Cases'!$K:$K, "reviewed pass")</f>
        <v>0</v>
      </c>
      <c r="J14" s="34">
        <f>IF(AND(K14=0,L14=0,G14=0),COUNTIFS('Test Cases'!$A:$A,"robustness",'Test Cases'!$K:$K,"fail"),COUNTIFS('Test Cases'!$A:$A,"robustness",'Test Cases'!$K:$K,"fail")-$K14-L14)</f>
        <v>0</v>
      </c>
      <c r="K14" s="34">
        <f>COUNTIFS('Test Cases'!$A:$A,"robustness", 'Test Cases'!$N:$N, "pass") + COUNTIFS('Test Cases'!$A:$A,"robustness",'Test Cases'!$N:$N, "reviewed pass")</f>
        <v>0</v>
      </c>
      <c r="L14" s="34">
        <f>COUNTIFS('Test Cases'!$A:$A,"robustness", 'Test Cases'!$N:$N, "fail")</f>
        <v>0</v>
      </c>
      <c r="M14" s="34">
        <f>COUNTIFS('Test Cases'!$A:$A,"robustness",'Test Cases'!$F:$F, "not executed")</f>
        <v>0</v>
      </c>
      <c r="N14" s="39" t="str">
        <f t="shared" si="0"/>
        <v>n/a</v>
      </c>
      <c r="O14" s="16" t="s">
        <v>37</v>
      </c>
    </row>
    <row r="15" spans="1:15" ht="13.8" thickBot="1" x14ac:dyDescent="0.3">
      <c r="A15" s="5"/>
      <c r="B15" s="19" t="s">
        <v>38</v>
      </c>
      <c r="C15" s="20">
        <f t="shared" ref="C15:M15" si="1">SUM(C4:C14)</f>
        <v>274</v>
      </c>
      <c r="D15" s="20">
        <f t="shared" si="1"/>
        <v>125</v>
      </c>
      <c r="E15" s="20">
        <f t="shared" si="1"/>
        <v>0</v>
      </c>
      <c r="F15" s="20">
        <f t="shared" si="1"/>
        <v>0</v>
      </c>
      <c r="G15" s="20">
        <f t="shared" si="1"/>
        <v>0</v>
      </c>
      <c r="H15" s="20">
        <f t="shared" si="1"/>
        <v>148</v>
      </c>
      <c r="I15" s="20">
        <f t="shared" si="1"/>
        <v>1</v>
      </c>
      <c r="J15" s="20">
        <f t="shared" si="1"/>
        <v>0</v>
      </c>
      <c r="K15" s="20">
        <f t="shared" si="1"/>
        <v>0</v>
      </c>
      <c r="L15" s="20">
        <f t="shared" si="1"/>
        <v>0</v>
      </c>
      <c r="M15" s="21">
        <f t="shared" si="1"/>
        <v>0</v>
      </c>
      <c r="N15" s="40">
        <f>IF((($D15+$I15+$K15)+($J15+$E15+$L15))=0,"n/a",IF($M15/$C15&lt;&gt;1,($D15+$I15+$K15)/(($D15+$I15+$K15)+($J15+$E15+$L15)),"n/a"))</f>
        <v>1</v>
      </c>
      <c r="O15" s="16"/>
    </row>
    <row r="16" spans="1:15" ht="13.8" thickBot="1" x14ac:dyDescent="0.3"/>
    <row r="17" spans="2:7" x14ac:dyDescent="0.25">
      <c r="B17" s="6" t="s">
        <v>39</v>
      </c>
      <c r="C17" s="23" t="s">
        <v>40</v>
      </c>
      <c r="D17" s="24"/>
      <c r="E17" s="24"/>
      <c r="F17" s="24"/>
      <c r="G17" s="25"/>
    </row>
    <row r="18" spans="2:7" x14ac:dyDescent="0.25">
      <c r="B18" s="7" t="s">
        <v>4</v>
      </c>
      <c r="C18" s="26" t="s">
        <v>41</v>
      </c>
      <c r="D18" s="22"/>
      <c r="E18" s="22"/>
      <c r="F18" s="22"/>
      <c r="G18" s="27"/>
    </row>
    <row r="19" spans="2:7" x14ac:dyDescent="0.25">
      <c r="B19" s="7" t="s">
        <v>5</v>
      </c>
      <c r="C19" s="26" t="s">
        <v>42</v>
      </c>
      <c r="D19" s="22"/>
      <c r="E19" s="22"/>
      <c r="F19" s="22"/>
      <c r="G19" s="27"/>
    </row>
    <row r="20" spans="2:7" x14ac:dyDescent="0.25">
      <c r="B20" s="7" t="s">
        <v>6</v>
      </c>
      <c r="C20" s="26" t="s">
        <v>43</v>
      </c>
      <c r="D20" s="22"/>
      <c r="E20" s="22"/>
      <c r="F20" s="22"/>
      <c r="G20" s="27"/>
    </row>
    <row r="21" spans="2:7" x14ac:dyDescent="0.25">
      <c r="B21" s="7" t="s">
        <v>7</v>
      </c>
      <c r="C21" s="26" t="s">
        <v>44</v>
      </c>
      <c r="D21" s="22"/>
      <c r="E21" s="22"/>
      <c r="F21" s="22"/>
      <c r="G21" s="27"/>
    </row>
    <row r="22" spans="2:7" x14ac:dyDescent="0.25">
      <c r="B22" s="7" t="s">
        <v>8</v>
      </c>
      <c r="C22" s="26" t="s">
        <v>45</v>
      </c>
      <c r="D22" s="22"/>
      <c r="E22" s="22"/>
      <c r="F22" s="22"/>
      <c r="G22" s="27"/>
    </row>
    <row r="23" spans="2:7" ht="12.75" customHeight="1" thickBot="1" x14ac:dyDescent="0.3">
      <c r="B23" s="8" t="s">
        <v>46</v>
      </c>
      <c r="C23" s="28" t="s">
        <v>47</v>
      </c>
      <c r="D23" s="29"/>
      <c r="E23" s="29"/>
      <c r="F23" s="29"/>
      <c r="G23" s="30"/>
    </row>
  </sheetData>
  <mergeCells count="2">
    <mergeCell ref="A2:A3"/>
    <mergeCell ref="B2:N2"/>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ummaryBelow="0" summaryRight="0"/>
  </sheetPr>
  <dimension ref="A1:Q275"/>
  <sheetViews>
    <sheetView tabSelected="1" zoomScaleNormal="100" workbookViewId="0">
      <pane ySplit="1" topLeftCell="A2" activePane="bottomLeft" state="frozen"/>
      <selection pane="bottomLeft" activeCell="C257" sqref="C257"/>
    </sheetView>
  </sheetViews>
  <sheetFormatPr defaultColWidth="12.6640625" defaultRowHeight="13.2" x14ac:dyDescent="0.25"/>
  <cols>
    <col min="1" max="1" width="27.5546875" style="41" customWidth="1"/>
    <col min="2" max="2" width="8.44140625" style="79" customWidth="1"/>
    <col min="3" max="3" width="51.88671875" style="41" customWidth="1"/>
    <col min="4" max="4" width="29.109375" style="93" customWidth="1"/>
    <col min="5" max="6" width="29.109375" style="41" customWidth="1"/>
    <col min="7" max="7" width="10.5546875" style="79" bestFit="1" customWidth="1"/>
    <col min="8" max="8" width="29.109375" style="80" customWidth="1"/>
    <col min="9" max="9" width="12.88671875" style="79" customWidth="1"/>
    <col min="10" max="10" width="29.109375" style="41" customWidth="1"/>
    <col min="11" max="11" width="21.44140625" style="41" customWidth="1"/>
    <col min="12" max="12" width="21.44140625" style="81" customWidth="1"/>
    <col min="13" max="13" width="31.6640625" style="41" customWidth="1"/>
    <col min="14" max="15" width="25" style="41" customWidth="1"/>
    <col min="16" max="16" width="27.44140625" style="79" customWidth="1"/>
    <col min="17" max="17" width="21" style="41" customWidth="1"/>
    <col min="18" max="16384" width="12.6640625" style="41"/>
  </cols>
  <sheetData>
    <row r="1" spans="1:17" s="99" customFormat="1" ht="21" customHeight="1" x14ac:dyDescent="0.25">
      <c r="A1" s="94" t="s">
        <v>48</v>
      </c>
      <c r="B1" s="95" t="s">
        <v>49</v>
      </c>
      <c r="C1" s="95" t="s">
        <v>15</v>
      </c>
      <c r="D1" s="96" t="s">
        <v>50</v>
      </c>
      <c r="E1" s="95" t="s">
        <v>51</v>
      </c>
      <c r="F1" s="95" t="s">
        <v>52</v>
      </c>
      <c r="G1" s="100" t="s">
        <v>53</v>
      </c>
      <c r="H1" s="101" t="s">
        <v>54</v>
      </c>
      <c r="I1" s="100" t="s">
        <v>55</v>
      </c>
      <c r="J1" s="95" t="s">
        <v>56</v>
      </c>
      <c r="K1" s="95" t="s">
        <v>57</v>
      </c>
      <c r="L1" s="97" t="s">
        <v>58</v>
      </c>
      <c r="M1" s="95" t="s">
        <v>59</v>
      </c>
      <c r="N1" s="95" t="s">
        <v>60</v>
      </c>
      <c r="O1" s="95" t="s">
        <v>61</v>
      </c>
      <c r="P1" s="95" t="s">
        <v>62</v>
      </c>
      <c r="Q1" s="98" t="s">
        <v>63</v>
      </c>
    </row>
    <row r="2" spans="1:17" ht="26.4" x14ac:dyDescent="0.25">
      <c r="A2" s="42" t="s">
        <v>16</v>
      </c>
      <c r="B2" s="43">
        <v>1</v>
      </c>
      <c r="C2" s="44" t="s">
        <v>64</v>
      </c>
      <c r="D2" s="85" t="s">
        <v>65</v>
      </c>
      <c r="E2" s="46" t="s">
        <v>66</v>
      </c>
      <c r="F2" s="43" t="s">
        <v>4</v>
      </c>
      <c r="G2" s="50">
        <v>45817</v>
      </c>
      <c r="H2" s="47" t="s">
        <v>67</v>
      </c>
      <c r="I2" s="49" t="s">
        <v>68</v>
      </c>
      <c r="J2" s="43"/>
      <c r="K2" s="43"/>
      <c r="L2" s="48"/>
      <c r="M2" s="43"/>
      <c r="N2" s="43"/>
      <c r="O2" s="43"/>
      <c r="P2" s="52" t="s">
        <v>69</v>
      </c>
      <c r="Q2" s="51" t="s">
        <v>70</v>
      </c>
    </row>
    <row r="3" spans="1:17" ht="26.4" x14ac:dyDescent="0.25">
      <c r="A3" s="42" t="s">
        <v>16</v>
      </c>
      <c r="B3" s="43">
        <v>2</v>
      </c>
      <c r="C3" s="44" t="s">
        <v>64</v>
      </c>
      <c r="D3" s="85" t="s">
        <v>65</v>
      </c>
      <c r="E3" s="46" t="s">
        <v>66</v>
      </c>
      <c r="F3" s="43" t="s">
        <v>4</v>
      </c>
      <c r="G3" s="50">
        <v>45817</v>
      </c>
      <c r="H3" s="47" t="s">
        <v>71</v>
      </c>
      <c r="I3" s="49" t="s">
        <v>68</v>
      </c>
      <c r="J3" s="43"/>
      <c r="K3" s="43"/>
      <c r="L3" s="48"/>
      <c r="M3" s="43"/>
      <c r="N3" s="43"/>
      <c r="O3" s="43"/>
      <c r="P3" s="52" t="s">
        <v>69</v>
      </c>
      <c r="Q3" s="51" t="s">
        <v>70</v>
      </c>
    </row>
    <row r="4" spans="1:17" ht="26.4" x14ac:dyDescent="0.25">
      <c r="A4" s="42" t="s">
        <v>16</v>
      </c>
      <c r="B4" s="43">
        <v>3</v>
      </c>
      <c r="C4" s="44" t="s">
        <v>64</v>
      </c>
      <c r="D4" s="85" t="s">
        <v>65</v>
      </c>
      <c r="E4" s="46" t="s">
        <v>66</v>
      </c>
      <c r="F4" s="43" t="s">
        <v>4</v>
      </c>
      <c r="G4" s="50">
        <v>45817</v>
      </c>
      <c r="H4" s="47" t="s">
        <v>72</v>
      </c>
      <c r="I4" s="49" t="s">
        <v>68</v>
      </c>
      <c r="J4" s="43"/>
      <c r="K4" s="43"/>
      <c r="L4" s="48"/>
      <c r="M4" s="43"/>
      <c r="N4" s="43"/>
      <c r="O4" s="43"/>
      <c r="P4" s="52" t="s">
        <v>69</v>
      </c>
      <c r="Q4" s="51" t="s">
        <v>70</v>
      </c>
    </row>
    <row r="5" spans="1:17" ht="41.25" customHeight="1" x14ac:dyDescent="0.25">
      <c r="A5" s="42" t="s">
        <v>16</v>
      </c>
      <c r="B5" s="43">
        <v>4</v>
      </c>
      <c r="C5" s="44" t="s">
        <v>73</v>
      </c>
      <c r="D5" s="85" t="s">
        <v>65</v>
      </c>
      <c r="E5" s="46" t="s">
        <v>66</v>
      </c>
      <c r="F5" s="43" t="s">
        <v>4</v>
      </c>
      <c r="G5" s="50">
        <v>45817</v>
      </c>
      <c r="H5" s="47" t="s">
        <v>67</v>
      </c>
      <c r="I5" s="49" t="s">
        <v>68</v>
      </c>
      <c r="J5" s="43"/>
      <c r="K5" s="43"/>
      <c r="L5" s="48"/>
      <c r="M5" s="43"/>
      <c r="N5" s="43"/>
      <c r="O5" s="43"/>
      <c r="P5" s="52" t="s">
        <v>69</v>
      </c>
      <c r="Q5" s="51" t="s">
        <v>70</v>
      </c>
    </row>
    <row r="6" spans="1:17" ht="39.75" customHeight="1" x14ac:dyDescent="0.25">
      <c r="A6" s="42" t="s">
        <v>16</v>
      </c>
      <c r="B6" s="43">
        <v>5</v>
      </c>
      <c r="C6" s="44" t="s">
        <v>73</v>
      </c>
      <c r="D6" s="85" t="s">
        <v>65</v>
      </c>
      <c r="E6" s="46" t="s">
        <v>66</v>
      </c>
      <c r="F6" s="43" t="s">
        <v>4</v>
      </c>
      <c r="G6" s="50">
        <v>45817</v>
      </c>
      <c r="H6" s="47" t="s">
        <v>71</v>
      </c>
      <c r="I6" s="49" t="s">
        <v>68</v>
      </c>
      <c r="J6" s="43"/>
      <c r="K6" s="43"/>
      <c r="L6" s="48"/>
      <c r="M6" s="43"/>
      <c r="N6" s="43"/>
      <c r="O6" s="43"/>
      <c r="P6" s="52" t="s">
        <v>69</v>
      </c>
      <c r="Q6" s="51" t="s">
        <v>70</v>
      </c>
    </row>
    <row r="7" spans="1:17" ht="36.75" customHeight="1" x14ac:dyDescent="0.25">
      <c r="A7" s="42" t="s">
        <v>16</v>
      </c>
      <c r="B7" s="43">
        <v>6</v>
      </c>
      <c r="C7" s="44" t="s">
        <v>73</v>
      </c>
      <c r="D7" s="85" t="s">
        <v>65</v>
      </c>
      <c r="E7" s="46" t="s">
        <v>66</v>
      </c>
      <c r="F7" s="43" t="s">
        <v>4</v>
      </c>
      <c r="G7" s="50">
        <v>45817</v>
      </c>
      <c r="H7" s="47" t="s">
        <v>72</v>
      </c>
      <c r="I7" s="49" t="s">
        <v>68</v>
      </c>
      <c r="J7" s="43"/>
      <c r="K7" s="43"/>
      <c r="L7" s="48"/>
      <c r="M7" s="43"/>
      <c r="N7" s="43"/>
      <c r="O7" s="43"/>
      <c r="P7" s="52" t="s">
        <v>69</v>
      </c>
      <c r="Q7" s="51" t="s">
        <v>70</v>
      </c>
    </row>
    <row r="8" spans="1:17" ht="26.4" x14ac:dyDescent="0.25">
      <c r="A8" s="42" t="s">
        <v>16</v>
      </c>
      <c r="B8" s="43">
        <v>7</v>
      </c>
      <c r="C8" s="44" t="s">
        <v>74</v>
      </c>
      <c r="D8" s="85" t="s">
        <v>65</v>
      </c>
      <c r="E8" s="46"/>
      <c r="F8" s="43" t="s">
        <v>8</v>
      </c>
      <c r="G8" s="50"/>
      <c r="H8" s="53"/>
      <c r="I8" s="49"/>
      <c r="J8" s="43"/>
      <c r="K8" s="43"/>
      <c r="L8" s="48"/>
      <c r="M8" s="43"/>
      <c r="N8" s="43"/>
      <c r="O8" s="43"/>
      <c r="P8" s="52"/>
      <c r="Q8" s="51"/>
    </row>
    <row r="9" spans="1:17" ht="26.4" x14ac:dyDescent="0.25">
      <c r="A9" s="42" t="s">
        <v>16</v>
      </c>
      <c r="B9" s="43">
        <v>8</v>
      </c>
      <c r="C9" s="44" t="s">
        <v>74</v>
      </c>
      <c r="D9" s="85" t="s">
        <v>65</v>
      </c>
      <c r="E9" s="46"/>
      <c r="F9" s="43" t="s">
        <v>8</v>
      </c>
      <c r="G9" s="50"/>
      <c r="H9" s="53"/>
      <c r="I9" s="49"/>
      <c r="J9" s="43"/>
      <c r="K9" s="43"/>
      <c r="L9" s="48"/>
      <c r="M9" s="43"/>
      <c r="N9" s="43"/>
      <c r="O9" s="43"/>
      <c r="P9" s="52"/>
      <c r="Q9" s="51"/>
    </row>
    <row r="10" spans="1:17" ht="26.4" x14ac:dyDescent="0.25">
      <c r="A10" s="42" t="s">
        <v>16</v>
      </c>
      <c r="B10" s="43">
        <v>9</v>
      </c>
      <c r="C10" s="44" t="s">
        <v>74</v>
      </c>
      <c r="D10" s="85" t="s">
        <v>65</v>
      </c>
      <c r="E10" s="46"/>
      <c r="F10" s="43" t="s">
        <v>8</v>
      </c>
      <c r="G10" s="50"/>
      <c r="H10" s="53"/>
      <c r="I10" s="49"/>
      <c r="J10" s="43"/>
      <c r="K10" s="43"/>
      <c r="L10" s="48"/>
      <c r="M10" s="43"/>
      <c r="N10" s="43"/>
      <c r="O10" s="43"/>
      <c r="P10" s="52"/>
      <c r="Q10" s="51"/>
    </row>
    <row r="11" spans="1:17" ht="26.4" x14ac:dyDescent="0.25">
      <c r="A11" s="42" t="s">
        <v>16</v>
      </c>
      <c r="B11" s="43">
        <v>10</v>
      </c>
      <c r="C11" s="44" t="s">
        <v>75</v>
      </c>
      <c r="D11" s="85" t="s">
        <v>65</v>
      </c>
      <c r="E11" s="46" t="s">
        <v>66</v>
      </c>
      <c r="F11" s="43" t="s">
        <v>4</v>
      </c>
      <c r="G11" s="50">
        <v>45817</v>
      </c>
      <c r="H11" s="53" t="s">
        <v>76</v>
      </c>
      <c r="I11" s="49" t="s">
        <v>68</v>
      </c>
      <c r="J11" s="43"/>
      <c r="K11" s="43"/>
      <c r="L11" s="48"/>
      <c r="M11" s="43"/>
      <c r="N11" s="43"/>
      <c r="O11" s="43"/>
      <c r="P11" s="52" t="s">
        <v>69</v>
      </c>
      <c r="Q11" s="51" t="s">
        <v>70</v>
      </c>
    </row>
    <row r="12" spans="1:17" ht="26.4" x14ac:dyDescent="0.25">
      <c r="A12" s="42" t="s">
        <v>16</v>
      </c>
      <c r="B12" s="43">
        <v>11</v>
      </c>
      <c r="C12" s="44" t="s">
        <v>75</v>
      </c>
      <c r="D12" s="85" t="s">
        <v>65</v>
      </c>
      <c r="E12" s="46" t="s">
        <v>66</v>
      </c>
      <c r="F12" s="43" t="s">
        <v>4</v>
      </c>
      <c r="G12" s="50">
        <v>45817</v>
      </c>
      <c r="H12" s="53" t="s">
        <v>77</v>
      </c>
      <c r="I12" s="49" t="s">
        <v>68</v>
      </c>
      <c r="J12" s="43"/>
      <c r="K12" s="43"/>
      <c r="L12" s="48"/>
      <c r="M12" s="43"/>
      <c r="N12" s="43"/>
      <c r="O12" s="43"/>
      <c r="P12" s="52" t="s">
        <v>69</v>
      </c>
      <c r="Q12" s="51" t="s">
        <v>70</v>
      </c>
    </row>
    <row r="13" spans="1:17" ht="26.4" x14ac:dyDescent="0.25">
      <c r="A13" s="42" t="s">
        <v>16</v>
      </c>
      <c r="B13" s="43">
        <v>12</v>
      </c>
      <c r="C13" s="44" t="s">
        <v>75</v>
      </c>
      <c r="D13" s="85" t="s">
        <v>65</v>
      </c>
      <c r="E13" s="46" t="s">
        <v>66</v>
      </c>
      <c r="F13" s="43" t="s">
        <v>4</v>
      </c>
      <c r="G13" s="50">
        <v>45817</v>
      </c>
      <c r="H13" s="47" t="s">
        <v>78</v>
      </c>
      <c r="I13" s="49" t="s">
        <v>68</v>
      </c>
      <c r="J13" s="43"/>
      <c r="K13" s="43"/>
      <c r="L13" s="48"/>
      <c r="M13" s="43"/>
      <c r="N13" s="43"/>
      <c r="O13" s="43"/>
      <c r="P13" s="52" t="s">
        <v>69</v>
      </c>
      <c r="Q13" s="51" t="s">
        <v>70</v>
      </c>
    </row>
    <row r="14" spans="1:17" ht="26.4" x14ac:dyDescent="0.25">
      <c r="A14" s="42" t="s">
        <v>18</v>
      </c>
      <c r="B14" s="55">
        <v>1</v>
      </c>
      <c r="C14" s="56" t="s">
        <v>79</v>
      </c>
      <c r="D14" s="86" t="s">
        <v>80</v>
      </c>
      <c r="E14" s="46" t="s">
        <v>66</v>
      </c>
      <c r="F14" s="43" t="s">
        <v>4</v>
      </c>
      <c r="G14" s="50">
        <v>45817</v>
      </c>
      <c r="H14" s="47" t="s">
        <v>81</v>
      </c>
      <c r="I14" s="49" t="s">
        <v>68</v>
      </c>
      <c r="J14" s="57"/>
      <c r="K14" s="43"/>
      <c r="L14" s="48"/>
      <c r="M14" s="43"/>
      <c r="N14" s="43"/>
      <c r="O14" s="43"/>
      <c r="P14" s="52" t="s">
        <v>69</v>
      </c>
      <c r="Q14" s="51" t="s">
        <v>70</v>
      </c>
    </row>
    <row r="15" spans="1:17" ht="26.4" x14ac:dyDescent="0.25">
      <c r="A15" s="42" t="s">
        <v>18</v>
      </c>
      <c r="B15" s="43">
        <v>2</v>
      </c>
      <c r="C15" s="56" t="s">
        <v>79</v>
      </c>
      <c r="D15" s="86" t="s">
        <v>80</v>
      </c>
      <c r="E15" s="46" t="s">
        <v>66</v>
      </c>
      <c r="F15" s="43" t="s">
        <v>4</v>
      </c>
      <c r="G15" s="50">
        <v>45817</v>
      </c>
      <c r="H15" s="47" t="s">
        <v>82</v>
      </c>
      <c r="I15" s="49" t="s">
        <v>68</v>
      </c>
      <c r="J15" s="43"/>
      <c r="K15" s="43"/>
      <c r="L15" s="48"/>
      <c r="M15" s="43"/>
      <c r="N15" s="43"/>
      <c r="O15" s="43"/>
      <c r="P15" s="52" t="s">
        <v>69</v>
      </c>
      <c r="Q15" s="51" t="s">
        <v>70</v>
      </c>
    </row>
    <row r="16" spans="1:17" ht="26.4" x14ac:dyDescent="0.25">
      <c r="A16" s="42" t="s">
        <v>18</v>
      </c>
      <c r="B16" s="43">
        <v>3</v>
      </c>
      <c r="C16" s="56" t="s">
        <v>79</v>
      </c>
      <c r="D16" s="86" t="s">
        <v>80</v>
      </c>
      <c r="E16" s="46" t="s">
        <v>66</v>
      </c>
      <c r="F16" s="43" t="s">
        <v>4</v>
      </c>
      <c r="G16" s="50">
        <v>45817</v>
      </c>
      <c r="H16" s="47" t="s">
        <v>83</v>
      </c>
      <c r="I16" s="49" t="s">
        <v>68</v>
      </c>
      <c r="J16" s="43"/>
      <c r="K16" s="43"/>
      <c r="L16" s="48"/>
      <c r="M16" s="43"/>
      <c r="N16" s="43"/>
      <c r="O16" s="43"/>
      <c r="P16" s="52" t="s">
        <v>69</v>
      </c>
      <c r="Q16" s="51" t="s">
        <v>70</v>
      </c>
    </row>
    <row r="17" spans="1:17" ht="26.4" x14ac:dyDescent="0.25">
      <c r="A17" s="42" t="s">
        <v>18</v>
      </c>
      <c r="B17" s="55">
        <v>4</v>
      </c>
      <c r="C17" s="56" t="s">
        <v>84</v>
      </c>
      <c r="D17" s="86" t="s">
        <v>85</v>
      </c>
      <c r="E17" s="46" t="s">
        <v>66</v>
      </c>
      <c r="F17" s="43" t="s">
        <v>4</v>
      </c>
      <c r="G17" s="50">
        <v>45817</v>
      </c>
      <c r="H17" s="47" t="s">
        <v>86</v>
      </c>
      <c r="I17" s="49" t="s">
        <v>68</v>
      </c>
      <c r="J17" s="43"/>
      <c r="K17" s="43"/>
      <c r="L17" s="48"/>
      <c r="M17" s="43"/>
      <c r="N17" s="43"/>
      <c r="O17" s="43"/>
      <c r="P17" s="52" t="s">
        <v>69</v>
      </c>
      <c r="Q17" s="51" t="s">
        <v>70</v>
      </c>
    </row>
    <row r="18" spans="1:17" ht="26.4" x14ac:dyDescent="0.25">
      <c r="A18" s="42" t="s">
        <v>18</v>
      </c>
      <c r="B18" s="43">
        <v>5</v>
      </c>
      <c r="C18" s="56" t="s">
        <v>84</v>
      </c>
      <c r="D18" s="86" t="s">
        <v>85</v>
      </c>
      <c r="E18" s="46" t="s">
        <v>66</v>
      </c>
      <c r="F18" s="43" t="s">
        <v>4</v>
      </c>
      <c r="G18" s="50">
        <v>45817</v>
      </c>
      <c r="H18" s="47" t="s">
        <v>87</v>
      </c>
      <c r="I18" s="49" t="s">
        <v>68</v>
      </c>
      <c r="J18" s="43"/>
      <c r="K18" s="43"/>
      <c r="L18" s="48"/>
      <c r="M18" s="43"/>
      <c r="N18" s="43"/>
      <c r="O18" s="43"/>
      <c r="P18" s="52" t="s">
        <v>69</v>
      </c>
      <c r="Q18" s="51" t="s">
        <v>70</v>
      </c>
    </row>
    <row r="19" spans="1:17" ht="26.4" x14ac:dyDescent="0.25">
      <c r="A19" s="42" t="s">
        <v>18</v>
      </c>
      <c r="B19" s="43">
        <v>6</v>
      </c>
      <c r="C19" s="56" t="s">
        <v>84</v>
      </c>
      <c r="D19" s="86" t="s">
        <v>85</v>
      </c>
      <c r="E19" s="46" t="s">
        <v>66</v>
      </c>
      <c r="F19" s="43" t="s">
        <v>4</v>
      </c>
      <c r="G19" s="50">
        <v>45817</v>
      </c>
      <c r="H19" s="47" t="s">
        <v>88</v>
      </c>
      <c r="I19" s="49" t="s">
        <v>68</v>
      </c>
      <c r="J19" s="43"/>
      <c r="K19" s="43"/>
      <c r="L19" s="48"/>
      <c r="M19" s="43"/>
      <c r="N19" s="43"/>
      <c r="O19" s="43"/>
      <c r="P19" s="52" t="s">
        <v>69</v>
      </c>
      <c r="Q19" s="51" t="s">
        <v>70</v>
      </c>
    </row>
    <row r="20" spans="1:17" ht="39.6" x14ac:dyDescent="0.25">
      <c r="A20" s="42" t="s">
        <v>18</v>
      </c>
      <c r="B20" s="55">
        <v>7</v>
      </c>
      <c r="C20" s="58" t="s">
        <v>89</v>
      </c>
      <c r="D20" s="87" t="s">
        <v>90</v>
      </c>
      <c r="E20" s="46" t="s">
        <v>66</v>
      </c>
      <c r="F20" s="43" t="s">
        <v>4</v>
      </c>
      <c r="G20" s="50">
        <v>45817</v>
      </c>
      <c r="H20" s="53" t="s">
        <v>91</v>
      </c>
      <c r="I20" s="49" t="s">
        <v>68</v>
      </c>
      <c r="J20" s="43"/>
      <c r="K20" s="43"/>
      <c r="L20" s="48"/>
      <c r="M20" s="43"/>
      <c r="N20" s="43"/>
      <c r="O20" s="43"/>
      <c r="P20" s="52" t="s">
        <v>69</v>
      </c>
      <c r="Q20" s="51" t="s">
        <v>70</v>
      </c>
    </row>
    <row r="21" spans="1:17" ht="39.6" x14ac:dyDescent="0.25">
      <c r="A21" s="42" t="s">
        <v>18</v>
      </c>
      <c r="B21" s="43">
        <v>8</v>
      </c>
      <c r="C21" s="58" t="s">
        <v>89</v>
      </c>
      <c r="D21" s="87" t="s">
        <v>90</v>
      </c>
      <c r="E21" s="46" t="s">
        <v>66</v>
      </c>
      <c r="F21" s="43" t="s">
        <v>4</v>
      </c>
      <c r="G21" s="50">
        <v>45817</v>
      </c>
      <c r="H21" s="53" t="s">
        <v>92</v>
      </c>
      <c r="I21" s="49" t="s">
        <v>68</v>
      </c>
      <c r="J21" s="43"/>
      <c r="K21" s="43"/>
      <c r="L21" s="48"/>
      <c r="M21" s="43"/>
      <c r="N21" s="43"/>
      <c r="O21" s="43"/>
      <c r="P21" s="52" t="s">
        <v>69</v>
      </c>
      <c r="Q21" s="51" t="s">
        <v>70</v>
      </c>
    </row>
    <row r="22" spans="1:17" ht="39.6" x14ac:dyDescent="0.25">
      <c r="A22" s="42" t="s">
        <v>18</v>
      </c>
      <c r="B22" s="43">
        <v>9</v>
      </c>
      <c r="C22" s="58" t="s">
        <v>89</v>
      </c>
      <c r="D22" s="87" t="s">
        <v>90</v>
      </c>
      <c r="E22" s="46" t="s">
        <v>66</v>
      </c>
      <c r="F22" s="43" t="s">
        <v>4</v>
      </c>
      <c r="G22" s="50">
        <v>45817</v>
      </c>
      <c r="H22" s="53" t="s">
        <v>93</v>
      </c>
      <c r="I22" s="49" t="s">
        <v>68</v>
      </c>
      <c r="J22" s="43"/>
      <c r="K22" s="43"/>
      <c r="L22" s="48"/>
      <c r="M22" s="43"/>
      <c r="N22" s="43"/>
      <c r="O22" s="43"/>
      <c r="P22" s="52" t="s">
        <v>69</v>
      </c>
      <c r="Q22" s="51" t="s">
        <v>70</v>
      </c>
    </row>
    <row r="23" spans="1:17" ht="39.6" x14ac:dyDescent="0.25">
      <c r="A23" s="42" t="s">
        <v>18</v>
      </c>
      <c r="B23" s="43">
        <v>10</v>
      </c>
      <c r="C23" s="58" t="s">
        <v>94</v>
      </c>
      <c r="D23" s="87" t="s">
        <v>90</v>
      </c>
      <c r="E23" s="46" t="s">
        <v>66</v>
      </c>
      <c r="F23" s="43" t="s">
        <v>4</v>
      </c>
      <c r="G23" s="50">
        <v>45817</v>
      </c>
      <c r="H23" s="53" t="s">
        <v>95</v>
      </c>
      <c r="I23" s="49" t="s">
        <v>68</v>
      </c>
      <c r="J23" s="43"/>
      <c r="K23" s="43"/>
      <c r="L23" s="48"/>
      <c r="M23" s="43"/>
      <c r="N23" s="43"/>
      <c r="O23" s="43"/>
      <c r="P23" s="52" t="s">
        <v>69</v>
      </c>
      <c r="Q23" s="51" t="s">
        <v>70</v>
      </c>
    </row>
    <row r="24" spans="1:17" ht="39.6" x14ac:dyDescent="0.25">
      <c r="A24" s="42" t="s">
        <v>18</v>
      </c>
      <c r="B24" s="43">
        <v>11</v>
      </c>
      <c r="C24" s="58" t="s">
        <v>94</v>
      </c>
      <c r="D24" s="87" t="s">
        <v>90</v>
      </c>
      <c r="E24" s="46" t="s">
        <v>66</v>
      </c>
      <c r="F24" s="43" t="s">
        <v>4</v>
      </c>
      <c r="G24" s="50">
        <v>45817</v>
      </c>
      <c r="H24" s="53" t="s">
        <v>96</v>
      </c>
      <c r="I24" s="49" t="s">
        <v>68</v>
      </c>
      <c r="J24" s="43"/>
      <c r="K24" s="43"/>
      <c r="L24" s="48"/>
      <c r="M24" s="43"/>
      <c r="N24" s="43"/>
      <c r="O24" s="43"/>
      <c r="P24" s="52" t="s">
        <v>69</v>
      </c>
      <c r="Q24" s="51" t="s">
        <v>70</v>
      </c>
    </row>
    <row r="25" spans="1:17" ht="39.6" x14ac:dyDescent="0.25">
      <c r="A25" s="42" t="s">
        <v>18</v>
      </c>
      <c r="B25" s="43">
        <v>12</v>
      </c>
      <c r="C25" s="58" t="s">
        <v>94</v>
      </c>
      <c r="D25" s="87" t="s">
        <v>90</v>
      </c>
      <c r="E25" s="46" t="s">
        <v>66</v>
      </c>
      <c r="F25" s="43" t="s">
        <v>4</v>
      </c>
      <c r="G25" s="50">
        <v>45817</v>
      </c>
      <c r="H25" s="53" t="s">
        <v>97</v>
      </c>
      <c r="I25" s="49" t="s">
        <v>68</v>
      </c>
      <c r="J25" s="43"/>
      <c r="K25" s="43"/>
      <c r="L25" s="48"/>
      <c r="M25" s="43"/>
      <c r="N25" s="43"/>
      <c r="O25" s="43"/>
      <c r="P25" s="52" t="s">
        <v>69</v>
      </c>
      <c r="Q25" s="51" t="s">
        <v>70</v>
      </c>
    </row>
    <row r="26" spans="1:17" ht="39.6" x14ac:dyDescent="0.25">
      <c r="A26" s="42" t="s">
        <v>18</v>
      </c>
      <c r="B26" s="43">
        <v>13</v>
      </c>
      <c r="C26" s="58" t="s">
        <v>98</v>
      </c>
      <c r="D26" s="87" t="s">
        <v>99</v>
      </c>
      <c r="E26" s="46" t="s">
        <v>66</v>
      </c>
      <c r="F26" s="43" t="s">
        <v>4</v>
      </c>
      <c r="G26" s="50">
        <v>45817</v>
      </c>
      <c r="H26" s="53" t="s">
        <v>100</v>
      </c>
      <c r="I26" s="49" t="s">
        <v>68</v>
      </c>
      <c r="J26" s="43"/>
      <c r="K26" s="43"/>
      <c r="L26" s="48"/>
      <c r="M26" s="43"/>
      <c r="N26" s="43"/>
      <c r="O26" s="43"/>
      <c r="P26" s="52" t="s">
        <v>69</v>
      </c>
      <c r="Q26" s="51" t="s">
        <v>70</v>
      </c>
    </row>
    <row r="27" spans="1:17" ht="39.6" x14ac:dyDescent="0.25">
      <c r="A27" s="42" t="s">
        <v>18</v>
      </c>
      <c r="B27" s="43">
        <v>14</v>
      </c>
      <c r="C27" s="58" t="s">
        <v>98</v>
      </c>
      <c r="D27" s="87" t="s">
        <v>99</v>
      </c>
      <c r="E27" s="46" t="s">
        <v>66</v>
      </c>
      <c r="F27" s="43" t="s">
        <v>4</v>
      </c>
      <c r="G27" s="50">
        <v>45817</v>
      </c>
      <c r="H27" s="53" t="s">
        <v>101</v>
      </c>
      <c r="I27" s="49" t="s">
        <v>68</v>
      </c>
      <c r="J27" s="43"/>
      <c r="K27" s="43"/>
      <c r="L27" s="48"/>
      <c r="M27" s="43"/>
      <c r="N27" s="43"/>
      <c r="O27" s="43"/>
      <c r="P27" s="52" t="s">
        <v>69</v>
      </c>
      <c r="Q27" s="51" t="s">
        <v>70</v>
      </c>
    </row>
    <row r="28" spans="1:17" ht="39.6" x14ac:dyDescent="0.25">
      <c r="A28" s="42" t="s">
        <v>18</v>
      </c>
      <c r="B28" s="43">
        <v>15</v>
      </c>
      <c r="C28" s="58" t="s">
        <v>98</v>
      </c>
      <c r="D28" s="87" t="s">
        <v>99</v>
      </c>
      <c r="E28" s="46" t="s">
        <v>66</v>
      </c>
      <c r="F28" s="43" t="s">
        <v>4</v>
      </c>
      <c r="G28" s="50">
        <v>45817</v>
      </c>
      <c r="H28" s="53" t="s">
        <v>102</v>
      </c>
      <c r="I28" s="49" t="s">
        <v>68</v>
      </c>
      <c r="J28" s="43"/>
      <c r="K28" s="43"/>
      <c r="L28" s="48"/>
      <c r="M28" s="43"/>
      <c r="N28" s="43"/>
      <c r="O28" s="43"/>
      <c r="P28" s="52" t="s">
        <v>69</v>
      </c>
      <c r="Q28" s="51" t="s">
        <v>70</v>
      </c>
    </row>
    <row r="29" spans="1:17" ht="39.6" x14ac:dyDescent="0.25">
      <c r="A29" s="42" t="s">
        <v>18</v>
      </c>
      <c r="B29" s="43">
        <v>16</v>
      </c>
      <c r="C29" s="58" t="s">
        <v>103</v>
      </c>
      <c r="D29" s="87" t="s">
        <v>99</v>
      </c>
      <c r="E29" s="46" t="s">
        <v>66</v>
      </c>
      <c r="F29" s="43" t="s">
        <v>4</v>
      </c>
      <c r="G29" s="50">
        <v>45817</v>
      </c>
      <c r="H29" s="53" t="s">
        <v>104</v>
      </c>
      <c r="I29" s="49" t="s">
        <v>68</v>
      </c>
      <c r="J29" s="43"/>
      <c r="K29" s="43"/>
      <c r="L29" s="48"/>
      <c r="M29" s="43"/>
      <c r="N29" s="43"/>
      <c r="O29" s="43"/>
      <c r="P29" s="52" t="s">
        <v>69</v>
      </c>
      <c r="Q29" s="51" t="s">
        <v>70</v>
      </c>
    </row>
    <row r="30" spans="1:17" ht="39.6" x14ac:dyDescent="0.25">
      <c r="A30" s="42" t="s">
        <v>18</v>
      </c>
      <c r="B30" s="43">
        <v>17</v>
      </c>
      <c r="C30" s="58" t="s">
        <v>103</v>
      </c>
      <c r="D30" s="87" t="s">
        <v>99</v>
      </c>
      <c r="E30" s="46" t="s">
        <v>66</v>
      </c>
      <c r="F30" s="43" t="s">
        <v>4</v>
      </c>
      <c r="G30" s="50">
        <v>45817</v>
      </c>
      <c r="H30" s="53" t="s">
        <v>105</v>
      </c>
      <c r="I30" s="49" t="s">
        <v>68</v>
      </c>
      <c r="J30" s="43"/>
      <c r="K30" s="43"/>
      <c r="L30" s="48"/>
      <c r="M30" s="43"/>
      <c r="N30" s="43"/>
      <c r="O30" s="43"/>
      <c r="P30" s="52" t="s">
        <v>69</v>
      </c>
      <c r="Q30" s="51" t="s">
        <v>70</v>
      </c>
    </row>
    <row r="31" spans="1:17" ht="39.6" x14ac:dyDescent="0.25">
      <c r="A31" s="42" t="s">
        <v>18</v>
      </c>
      <c r="B31" s="43">
        <v>18</v>
      </c>
      <c r="C31" s="58" t="s">
        <v>103</v>
      </c>
      <c r="D31" s="87" t="s">
        <v>99</v>
      </c>
      <c r="E31" s="46" t="s">
        <v>66</v>
      </c>
      <c r="F31" s="43" t="s">
        <v>4</v>
      </c>
      <c r="G31" s="50">
        <v>45817</v>
      </c>
      <c r="H31" s="53" t="s">
        <v>106</v>
      </c>
      <c r="I31" s="49" t="s">
        <v>68</v>
      </c>
      <c r="J31" s="43"/>
      <c r="K31" s="43"/>
      <c r="L31" s="48"/>
      <c r="M31" s="43"/>
      <c r="N31" s="43"/>
      <c r="O31" s="43"/>
      <c r="P31" s="52" t="s">
        <v>69</v>
      </c>
      <c r="Q31" s="51" t="s">
        <v>70</v>
      </c>
    </row>
    <row r="32" spans="1:17" ht="39.6" x14ac:dyDescent="0.25">
      <c r="A32" s="42" t="s">
        <v>18</v>
      </c>
      <c r="B32" s="43">
        <v>19</v>
      </c>
      <c r="C32" s="58" t="s">
        <v>107</v>
      </c>
      <c r="D32" s="87" t="s">
        <v>108</v>
      </c>
      <c r="E32" s="46" t="s">
        <v>66</v>
      </c>
      <c r="F32" s="43" t="s">
        <v>4</v>
      </c>
      <c r="G32" s="50">
        <v>45817</v>
      </c>
      <c r="H32" s="53" t="s">
        <v>109</v>
      </c>
      <c r="I32" s="49" t="s">
        <v>68</v>
      </c>
      <c r="J32" s="43"/>
      <c r="K32" s="43"/>
      <c r="L32" s="48"/>
      <c r="M32" s="43"/>
      <c r="N32" s="43"/>
      <c r="O32" s="43"/>
      <c r="P32" s="52" t="s">
        <v>69</v>
      </c>
      <c r="Q32" s="51" t="s">
        <v>70</v>
      </c>
    </row>
    <row r="33" spans="1:17" ht="39.6" x14ac:dyDescent="0.25">
      <c r="A33" s="42" t="s">
        <v>18</v>
      </c>
      <c r="B33" s="43">
        <v>20</v>
      </c>
      <c r="C33" s="58" t="s">
        <v>107</v>
      </c>
      <c r="D33" s="87" t="s">
        <v>108</v>
      </c>
      <c r="E33" s="46" t="s">
        <v>66</v>
      </c>
      <c r="F33" s="43" t="s">
        <v>4</v>
      </c>
      <c r="G33" s="50">
        <v>45817</v>
      </c>
      <c r="H33" s="60" t="s">
        <v>110</v>
      </c>
      <c r="I33" s="49" t="s">
        <v>68</v>
      </c>
      <c r="J33" s="59"/>
      <c r="K33" s="43"/>
      <c r="L33" s="54"/>
      <c r="M33" s="43"/>
      <c r="N33" s="43"/>
      <c r="O33" s="43"/>
      <c r="P33" s="52" t="s">
        <v>69</v>
      </c>
      <c r="Q33" s="51" t="s">
        <v>70</v>
      </c>
    </row>
    <row r="34" spans="1:17" ht="39.6" x14ac:dyDescent="0.25">
      <c r="A34" s="42" t="s">
        <v>18</v>
      </c>
      <c r="B34" s="43">
        <v>21</v>
      </c>
      <c r="C34" s="58" t="s">
        <v>107</v>
      </c>
      <c r="D34" s="87" t="s">
        <v>108</v>
      </c>
      <c r="E34" s="46" t="s">
        <v>66</v>
      </c>
      <c r="F34" s="43" t="s">
        <v>4</v>
      </c>
      <c r="G34" s="50">
        <v>45817</v>
      </c>
      <c r="H34" s="53" t="s">
        <v>111</v>
      </c>
      <c r="I34" s="49" t="s">
        <v>68</v>
      </c>
      <c r="J34" s="59"/>
      <c r="K34" s="43"/>
      <c r="L34" s="54"/>
      <c r="M34" s="43"/>
      <c r="N34" s="43"/>
      <c r="O34" s="43"/>
      <c r="P34" s="52" t="s">
        <v>69</v>
      </c>
      <c r="Q34" s="51" t="s">
        <v>70</v>
      </c>
    </row>
    <row r="35" spans="1:17" ht="92.4" x14ac:dyDescent="0.25">
      <c r="A35" s="42" t="s">
        <v>18</v>
      </c>
      <c r="B35" s="43">
        <v>22</v>
      </c>
      <c r="C35" s="58" t="s">
        <v>112</v>
      </c>
      <c r="D35" s="87" t="s">
        <v>113</v>
      </c>
      <c r="E35" s="59"/>
      <c r="F35" s="43" t="s">
        <v>8</v>
      </c>
      <c r="G35" s="50"/>
      <c r="H35" s="53"/>
      <c r="I35" s="54"/>
      <c r="J35" s="43"/>
      <c r="K35" s="43"/>
      <c r="L35" s="48"/>
      <c r="M35" s="43"/>
      <c r="N35" s="43"/>
      <c r="O35" s="43"/>
      <c r="P35" s="52"/>
      <c r="Q35" s="51"/>
    </row>
    <row r="36" spans="1:17" ht="92.4" x14ac:dyDescent="0.25">
      <c r="A36" s="42" t="s">
        <v>18</v>
      </c>
      <c r="B36" s="43">
        <v>23</v>
      </c>
      <c r="C36" s="58" t="s">
        <v>112</v>
      </c>
      <c r="D36" s="87" t="s">
        <v>113</v>
      </c>
      <c r="E36" s="59"/>
      <c r="F36" s="43" t="s">
        <v>8</v>
      </c>
      <c r="G36" s="50"/>
      <c r="H36" s="53"/>
      <c r="I36" s="54"/>
      <c r="J36" s="43"/>
      <c r="K36" s="43"/>
      <c r="L36" s="48"/>
      <c r="M36" s="43"/>
      <c r="N36" s="43"/>
      <c r="O36" s="43"/>
      <c r="P36" s="52"/>
      <c r="Q36" s="51"/>
    </row>
    <row r="37" spans="1:17" ht="92.4" x14ac:dyDescent="0.25">
      <c r="A37" s="42" t="s">
        <v>18</v>
      </c>
      <c r="B37" s="43">
        <v>24</v>
      </c>
      <c r="C37" s="58" t="s">
        <v>112</v>
      </c>
      <c r="D37" s="87" t="s">
        <v>113</v>
      </c>
      <c r="E37" s="59"/>
      <c r="F37" s="43" t="s">
        <v>8</v>
      </c>
      <c r="G37" s="50"/>
      <c r="H37" s="53"/>
      <c r="I37" s="54"/>
      <c r="J37" s="43"/>
      <c r="K37" s="43"/>
      <c r="L37" s="48"/>
      <c r="M37" s="43"/>
      <c r="N37" s="43"/>
      <c r="O37" s="43"/>
      <c r="P37" s="52"/>
      <c r="Q37" s="51"/>
    </row>
    <row r="38" spans="1:17" ht="39.6" x14ac:dyDescent="0.25">
      <c r="A38" s="42" t="s">
        <v>20</v>
      </c>
      <c r="B38" s="43">
        <v>1</v>
      </c>
      <c r="C38" s="82" t="s">
        <v>114</v>
      </c>
      <c r="D38" s="88" t="s">
        <v>115</v>
      </c>
      <c r="E38" s="83"/>
      <c r="F38" s="43" t="s">
        <v>8</v>
      </c>
      <c r="G38" s="50"/>
      <c r="H38" s="84"/>
      <c r="I38" s="49"/>
      <c r="J38" s="43"/>
      <c r="K38" s="43"/>
      <c r="L38" s="48"/>
      <c r="M38" s="43"/>
      <c r="N38" s="43"/>
      <c r="O38" s="43"/>
      <c r="P38" s="52"/>
      <c r="Q38" s="51"/>
    </row>
    <row r="39" spans="1:17" ht="39.6" x14ac:dyDescent="0.25">
      <c r="A39" s="42" t="s">
        <v>20</v>
      </c>
      <c r="B39" s="43">
        <v>2</v>
      </c>
      <c r="C39" s="82" t="s">
        <v>114</v>
      </c>
      <c r="D39" s="88" t="s">
        <v>115</v>
      </c>
      <c r="E39" s="83"/>
      <c r="F39" s="43" t="s">
        <v>8</v>
      </c>
      <c r="G39" s="50"/>
      <c r="H39" s="84"/>
      <c r="I39" s="49"/>
      <c r="J39" s="43"/>
      <c r="K39" s="43"/>
      <c r="L39" s="48"/>
      <c r="M39" s="43"/>
      <c r="N39" s="43"/>
      <c r="O39" s="43"/>
      <c r="P39" s="52"/>
      <c r="Q39" s="51"/>
    </row>
    <row r="40" spans="1:17" ht="39.6" x14ac:dyDescent="0.25">
      <c r="A40" s="42" t="s">
        <v>20</v>
      </c>
      <c r="B40" s="43">
        <v>3</v>
      </c>
      <c r="C40" s="82" t="s">
        <v>114</v>
      </c>
      <c r="D40" s="88" t="s">
        <v>115</v>
      </c>
      <c r="E40" s="83"/>
      <c r="F40" s="43" t="s">
        <v>8</v>
      </c>
      <c r="G40" s="50"/>
      <c r="H40" s="84"/>
      <c r="I40" s="49"/>
      <c r="J40" s="43"/>
      <c r="K40" s="43"/>
      <c r="L40" s="48"/>
      <c r="M40" s="43"/>
      <c r="N40" s="43"/>
      <c r="O40" s="43"/>
      <c r="P40" s="52"/>
      <c r="Q40" s="51"/>
    </row>
    <row r="41" spans="1:17" ht="66" x14ac:dyDescent="0.25">
      <c r="A41" s="42" t="s">
        <v>20</v>
      </c>
      <c r="B41" s="43">
        <v>4</v>
      </c>
      <c r="C41" s="44" t="s">
        <v>116</v>
      </c>
      <c r="D41" s="89" t="s">
        <v>117</v>
      </c>
      <c r="E41" s="59"/>
      <c r="F41" s="43" t="s">
        <v>8</v>
      </c>
      <c r="G41" s="50"/>
      <c r="H41" s="54"/>
      <c r="I41" s="49"/>
      <c r="J41" s="43"/>
      <c r="K41" s="43"/>
      <c r="L41" s="48"/>
      <c r="M41" s="43"/>
      <c r="N41" s="43"/>
      <c r="O41" s="43"/>
      <c r="P41" s="52"/>
      <c r="Q41" s="51"/>
    </row>
    <row r="42" spans="1:17" ht="66" x14ac:dyDescent="0.25">
      <c r="A42" s="42" t="s">
        <v>20</v>
      </c>
      <c r="B42" s="43">
        <v>5</v>
      </c>
      <c r="C42" s="44" t="s">
        <v>116</v>
      </c>
      <c r="D42" s="89" t="s">
        <v>117</v>
      </c>
      <c r="E42" s="59"/>
      <c r="F42" s="43" t="s">
        <v>8</v>
      </c>
      <c r="G42" s="50"/>
      <c r="H42" s="54"/>
      <c r="I42" s="49"/>
      <c r="J42" s="43"/>
      <c r="K42" s="43"/>
      <c r="L42" s="48"/>
      <c r="M42" s="43"/>
      <c r="N42" s="43"/>
      <c r="O42" s="43"/>
      <c r="P42" s="52"/>
      <c r="Q42" s="51"/>
    </row>
    <row r="43" spans="1:17" ht="66" x14ac:dyDescent="0.25">
      <c r="A43" s="42" t="s">
        <v>20</v>
      </c>
      <c r="B43" s="43">
        <v>6</v>
      </c>
      <c r="C43" s="44" t="s">
        <v>116</v>
      </c>
      <c r="D43" s="89" t="s">
        <v>117</v>
      </c>
      <c r="E43" s="59"/>
      <c r="F43" s="43" t="s">
        <v>8</v>
      </c>
      <c r="G43" s="50"/>
      <c r="H43" s="54"/>
      <c r="I43" s="49"/>
      <c r="J43" s="43"/>
      <c r="K43" s="43"/>
      <c r="L43" s="48"/>
      <c r="M43" s="43"/>
      <c r="N43" s="43"/>
      <c r="O43" s="43"/>
      <c r="P43" s="52"/>
      <c r="Q43" s="51"/>
    </row>
    <row r="44" spans="1:17" ht="66" x14ac:dyDescent="0.25">
      <c r="A44" s="42" t="s">
        <v>20</v>
      </c>
      <c r="B44" s="43">
        <v>7</v>
      </c>
      <c r="C44" s="44" t="s">
        <v>118</v>
      </c>
      <c r="D44" s="89" t="s">
        <v>119</v>
      </c>
      <c r="E44" s="59"/>
      <c r="F44" s="43" t="s">
        <v>8</v>
      </c>
      <c r="G44" s="50"/>
      <c r="H44" s="54"/>
      <c r="I44" s="49"/>
      <c r="J44" s="43"/>
      <c r="K44" s="43"/>
      <c r="L44" s="48"/>
      <c r="M44" s="43"/>
      <c r="N44" s="43"/>
      <c r="O44" s="43"/>
      <c r="P44" s="52"/>
      <c r="Q44" s="51"/>
    </row>
    <row r="45" spans="1:17" ht="66" x14ac:dyDescent="0.25">
      <c r="A45" s="42" t="s">
        <v>20</v>
      </c>
      <c r="B45" s="43">
        <v>8</v>
      </c>
      <c r="C45" s="44" t="s">
        <v>118</v>
      </c>
      <c r="D45" s="89" t="s">
        <v>119</v>
      </c>
      <c r="E45" s="59"/>
      <c r="F45" s="43" t="s">
        <v>8</v>
      </c>
      <c r="G45" s="50"/>
      <c r="H45" s="54"/>
      <c r="I45" s="49"/>
      <c r="J45" s="43"/>
      <c r="K45" s="43"/>
      <c r="L45" s="48"/>
      <c r="M45" s="43"/>
      <c r="N45" s="43"/>
      <c r="O45" s="43"/>
      <c r="P45" s="52"/>
      <c r="Q45" s="51"/>
    </row>
    <row r="46" spans="1:17" ht="66" x14ac:dyDescent="0.25">
      <c r="A46" s="42" t="s">
        <v>20</v>
      </c>
      <c r="B46" s="43">
        <v>9</v>
      </c>
      <c r="C46" s="44" t="s">
        <v>118</v>
      </c>
      <c r="D46" s="89" t="s">
        <v>119</v>
      </c>
      <c r="E46" s="59"/>
      <c r="F46" s="43" t="s">
        <v>8</v>
      </c>
      <c r="G46" s="50"/>
      <c r="H46" s="54"/>
      <c r="I46" s="49"/>
      <c r="J46" s="43"/>
      <c r="K46" s="43"/>
      <c r="L46" s="48"/>
      <c r="M46" s="43"/>
      <c r="N46" s="43"/>
      <c r="O46" s="43"/>
      <c r="P46" s="52"/>
      <c r="Q46" s="51"/>
    </row>
    <row r="47" spans="1:17" ht="66" x14ac:dyDescent="0.25">
      <c r="A47" s="42" t="s">
        <v>20</v>
      </c>
      <c r="B47" s="43">
        <v>10</v>
      </c>
      <c r="C47" s="44" t="s">
        <v>120</v>
      </c>
      <c r="D47" s="89" t="s">
        <v>119</v>
      </c>
      <c r="E47" s="44"/>
      <c r="F47" s="43" t="s">
        <v>8</v>
      </c>
      <c r="G47" s="62"/>
      <c r="H47" s="48"/>
      <c r="I47" s="43"/>
      <c r="J47" s="43"/>
      <c r="K47" s="43"/>
      <c r="L47" s="48"/>
      <c r="M47" s="43"/>
      <c r="N47" s="43"/>
      <c r="O47" s="43"/>
      <c r="P47" s="52"/>
      <c r="Q47" s="66"/>
    </row>
    <row r="48" spans="1:17" ht="66" x14ac:dyDescent="0.25">
      <c r="A48" s="42" t="s">
        <v>20</v>
      </c>
      <c r="B48" s="43">
        <v>11</v>
      </c>
      <c r="C48" s="44" t="s">
        <v>120</v>
      </c>
      <c r="D48" s="89" t="s">
        <v>119</v>
      </c>
      <c r="E48" s="44"/>
      <c r="F48" s="43" t="s">
        <v>8</v>
      </c>
      <c r="G48" s="62"/>
      <c r="H48" s="48"/>
      <c r="I48" s="43"/>
      <c r="J48" s="43"/>
      <c r="K48" s="43"/>
      <c r="L48" s="48"/>
      <c r="M48" s="43"/>
      <c r="N48" s="43"/>
      <c r="O48" s="43"/>
      <c r="P48" s="52"/>
      <c r="Q48" s="66"/>
    </row>
    <row r="49" spans="1:17" ht="66" x14ac:dyDescent="0.25">
      <c r="A49" s="42" t="s">
        <v>20</v>
      </c>
      <c r="B49" s="43">
        <v>12</v>
      </c>
      <c r="C49" s="44" t="s">
        <v>120</v>
      </c>
      <c r="D49" s="89" t="s">
        <v>119</v>
      </c>
      <c r="E49" s="44"/>
      <c r="F49" s="43" t="s">
        <v>8</v>
      </c>
      <c r="G49" s="62"/>
      <c r="H49" s="48"/>
      <c r="I49" s="43"/>
      <c r="J49" s="43"/>
      <c r="K49" s="43"/>
      <c r="L49" s="48"/>
      <c r="M49" s="43"/>
      <c r="N49" s="43"/>
      <c r="O49" s="43"/>
      <c r="P49" s="52"/>
      <c r="Q49" s="66"/>
    </row>
    <row r="50" spans="1:17" ht="66" x14ac:dyDescent="0.25">
      <c r="A50" s="42" t="s">
        <v>20</v>
      </c>
      <c r="B50" s="43">
        <v>13</v>
      </c>
      <c r="C50" s="44" t="s">
        <v>121</v>
      </c>
      <c r="D50" s="89" t="s">
        <v>119</v>
      </c>
      <c r="E50" s="44"/>
      <c r="F50" s="43" t="s">
        <v>8</v>
      </c>
      <c r="G50" s="62"/>
      <c r="H50" s="48"/>
      <c r="I50" s="43"/>
      <c r="J50" s="43"/>
      <c r="K50" s="43"/>
      <c r="L50" s="48"/>
      <c r="M50" s="43"/>
      <c r="N50" s="43"/>
      <c r="O50" s="43"/>
      <c r="P50" s="52"/>
      <c r="Q50" s="66"/>
    </row>
    <row r="51" spans="1:17" ht="66" x14ac:dyDescent="0.25">
      <c r="A51" s="42" t="s">
        <v>20</v>
      </c>
      <c r="B51" s="43">
        <v>14</v>
      </c>
      <c r="C51" s="44" t="s">
        <v>121</v>
      </c>
      <c r="D51" s="89" t="s">
        <v>119</v>
      </c>
      <c r="E51" s="44"/>
      <c r="F51" s="43" t="s">
        <v>8</v>
      </c>
      <c r="G51" s="62"/>
      <c r="H51" s="48"/>
      <c r="I51" s="43"/>
      <c r="J51" s="43"/>
      <c r="K51" s="43"/>
      <c r="L51" s="48"/>
      <c r="M51" s="43"/>
      <c r="N51" s="43"/>
      <c r="O51" s="43"/>
      <c r="P51" s="52"/>
      <c r="Q51" s="66"/>
    </row>
    <row r="52" spans="1:17" ht="66" x14ac:dyDescent="0.25">
      <c r="A52" s="42" t="s">
        <v>20</v>
      </c>
      <c r="B52" s="43">
        <v>15</v>
      </c>
      <c r="C52" s="44" t="s">
        <v>121</v>
      </c>
      <c r="D52" s="89" t="s">
        <v>119</v>
      </c>
      <c r="E52" s="44"/>
      <c r="F52" s="43" t="s">
        <v>8</v>
      </c>
      <c r="G52" s="62"/>
      <c r="H52" s="48"/>
      <c r="I52" s="43"/>
      <c r="J52" s="43"/>
      <c r="K52" s="43"/>
      <c r="L52" s="48"/>
      <c r="M52" s="43"/>
      <c r="N52" s="43"/>
      <c r="O52" s="43"/>
      <c r="P52" s="52"/>
      <c r="Q52" s="66"/>
    </row>
    <row r="53" spans="1:17" ht="66" x14ac:dyDescent="0.25">
      <c r="A53" s="42" t="s">
        <v>20</v>
      </c>
      <c r="B53" s="43">
        <v>16</v>
      </c>
      <c r="C53" s="44" t="s">
        <v>122</v>
      </c>
      <c r="D53" s="89" t="s">
        <v>117</v>
      </c>
      <c r="E53" s="44"/>
      <c r="F53" s="43" t="s">
        <v>8</v>
      </c>
      <c r="G53" s="62"/>
      <c r="H53" s="48"/>
      <c r="I53" s="43"/>
      <c r="J53" s="43"/>
      <c r="K53" s="43"/>
      <c r="L53" s="48"/>
      <c r="M53" s="43"/>
      <c r="N53" s="43"/>
      <c r="O53" s="43"/>
      <c r="P53" s="52"/>
      <c r="Q53" s="66"/>
    </row>
    <row r="54" spans="1:17" ht="66" x14ac:dyDescent="0.25">
      <c r="A54" s="42" t="s">
        <v>20</v>
      </c>
      <c r="B54" s="43">
        <v>17</v>
      </c>
      <c r="C54" s="44" t="s">
        <v>122</v>
      </c>
      <c r="D54" s="89" t="s">
        <v>117</v>
      </c>
      <c r="E54" s="44"/>
      <c r="F54" s="43" t="s">
        <v>8</v>
      </c>
      <c r="G54" s="62"/>
      <c r="H54" s="48"/>
      <c r="I54" s="43"/>
      <c r="J54" s="43"/>
      <c r="K54" s="43"/>
      <c r="L54" s="48"/>
      <c r="M54" s="43"/>
      <c r="N54" s="43"/>
      <c r="O54" s="43"/>
      <c r="P54" s="52"/>
      <c r="Q54" s="66"/>
    </row>
    <row r="55" spans="1:17" ht="66" x14ac:dyDescent="0.25">
      <c r="A55" s="42" t="s">
        <v>20</v>
      </c>
      <c r="B55" s="43">
        <v>18</v>
      </c>
      <c r="C55" s="44" t="s">
        <v>122</v>
      </c>
      <c r="D55" s="89" t="s">
        <v>117</v>
      </c>
      <c r="E55" s="44"/>
      <c r="F55" s="43" t="s">
        <v>8</v>
      </c>
      <c r="G55" s="62"/>
      <c r="H55" s="48"/>
      <c r="I55" s="43"/>
      <c r="J55" s="43"/>
      <c r="K55" s="43"/>
      <c r="L55" s="48"/>
      <c r="M55" s="43"/>
      <c r="N55" s="43"/>
      <c r="O55" s="43"/>
      <c r="P55" s="52"/>
      <c r="Q55" s="66"/>
    </row>
    <row r="56" spans="1:17" ht="66" x14ac:dyDescent="0.25">
      <c r="A56" s="42" t="s">
        <v>20</v>
      </c>
      <c r="B56" s="43">
        <v>19</v>
      </c>
      <c r="C56" s="44" t="s">
        <v>123</v>
      </c>
      <c r="D56" s="89" t="s">
        <v>117</v>
      </c>
      <c r="E56" s="44"/>
      <c r="F56" s="43" t="s">
        <v>8</v>
      </c>
      <c r="G56" s="62"/>
      <c r="H56" s="48"/>
      <c r="I56" s="43"/>
      <c r="J56" s="43"/>
      <c r="K56" s="43"/>
      <c r="L56" s="48"/>
      <c r="M56" s="43"/>
      <c r="N56" s="43"/>
      <c r="O56" s="43"/>
      <c r="P56" s="52"/>
      <c r="Q56" s="66"/>
    </row>
    <row r="57" spans="1:17" ht="66" x14ac:dyDescent="0.25">
      <c r="A57" s="42" t="s">
        <v>20</v>
      </c>
      <c r="B57" s="43">
        <v>20</v>
      </c>
      <c r="C57" s="44" t="s">
        <v>123</v>
      </c>
      <c r="D57" s="89" t="s">
        <v>117</v>
      </c>
      <c r="E57" s="44"/>
      <c r="F57" s="43" t="s">
        <v>8</v>
      </c>
      <c r="G57" s="62"/>
      <c r="H57" s="48"/>
      <c r="I57" s="43"/>
      <c r="J57" s="43"/>
      <c r="K57" s="43"/>
      <c r="L57" s="48"/>
      <c r="M57" s="43"/>
      <c r="N57" s="43"/>
      <c r="O57" s="43"/>
      <c r="P57" s="52"/>
      <c r="Q57" s="66"/>
    </row>
    <row r="58" spans="1:17" ht="66" x14ac:dyDescent="0.25">
      <c r="A58" s="42" t="s">
        <v>20</v>
      </c>
      <c r="B58" s="43">
        <v>21</v>
      </c>
      <c r="C58" s="44" t="s">
        <v>123</v>
      </c>
      <c r="D58" s="89" t="s">
        <v>117</v>
      </c>
      <c r="E58" s="44"/>
      <c r="F58" s="43" t="s">
        <v>8</v>
      </c>
      <c r="G58" s="62"/>
      <c r="H58" s="48"/>
      <c r="I58" s="43"/>
      <c r="J58" s="43"/>
      <c r="K58" s="43"/>
      <c r="L58" s="48"/>
      <c r="M58" s="43"/>
      <c r="N58" s="43"/>
      <c r="O58" s="43"/>
      <c r="P58" s="52"/>
      <c r="Q58" s="66"/>
    </row>
    <row r="59" spans="1:17" ht="66" x14ac:dyDescent="0.25">
      <c r="A59" s="42" t="s">
        <v>124</v>
      </c>
      <c r="B59" s="43">
        <v>1</v>
      </c>
      <c r="C59" s="44" t="s">
        <v>125</v>
      </c>
      <c r="D59" s="89" t="s">
        <v>126</v>
      </c>
      <c r="E59" s="58" t="s">
        <v>127</v>
      </c>
      <c r="F59" s="43" t="s">
        <v>4</v>
      </c>
      <c r="G59" s="50">
        <v>45816</v>
      </c>
      <c r="H59" s="61" t="s">
        <v>128</v>
      </c>
      <c r="I59" s="49" t="s">
        <v>129</v>
      </c>
      <c r="J59" s="43"/>
      <c r="K59" s="43"/>
      <c r="L59" s="48"/>
      <c r="M59" s="43"/>
      <c r="N59" s="43"/>
      <c r="O59" s="43"/>
      <c r="P59" s="52" t="s">
        <v>69</v>
      </c>
      <c r="Q59" s="51" t="s">
        <v>70</v>
      </c>
    </row>
    <row r="60" spans="1:17" ht="39.6" x14ac:dyDescent="0.25">
      <c r="A60" s="42" t="s">
        <v>124</v>
      </c>
      <c r="B60" s="43">
        <v>2</v>
      </c>
      <c r="C60" s="44" t="s">
        <v>125</v>
      </c>
      <c r="D60" s="89" t="s">
        <v>126</v>
      </c>
      <c r="E60" s="46" t="s">
        <v>66</v>
      </c>
      <c r="F60" s="43" t="s">
        <v>4</v>
      </c>
      <c r="G60" s="50">
        <v>45816</v>
      </c>
      <c r="H60" s="61" t="s">
        <v>130</v>
      </c>
      <c r="I60" s="49" t="s">
        <v>129</v>
      </c>
      <c r="J60" s="43"/>
      <c r="K60" s="43"/>
      <c r="L60" s="48"/>
      <c r="M60" s="43"/>
      <c r="N60" s="43"/>
      <c r="O60" s="43"/>
      <c r="P60" s="52" t="s">
        <v>69</v>
      </c>
      <c r="Q60" s="51" t="s">
        <v>70</v>
      </c>
    </row>
    <row r="61" spans="1:17" ht="39.6" x14ac:dyDescent="0.25">
      <c r="A61" s="42" t="s">
        <v>124</v>
      </c>
      <c r="B61" s="43">
        <v>3</v>
      </c>
      <c r="C61" s="44" t="s">
        <v>125</v>
      </c>
      <c r="D61" s="89" t="s">
        <v>126</v>
      </c>
      <c r="E61" s="46" t="s">
        <v>66</v>
      </c>
      <c r="F61" s="43" t="s">
        <v>4</v>
      </c>
      <c r="G61" s="50">
        <v>45816</v>
      </c>
      <c r="H61" s="64" t="s">
        <v>131</v>
      </c>
      <c r="I61" s="49" t="s">
        <v>129</v>
      </c>
      <c r="J61" s="43"/>
      <c r="K61" s="43"/>
      <c r="L61" s="48"/>
      <c r="M61" s="43"/>
      <c r="N61" s="43"/>
      <c r="O61" s="43"/>
      <c r="P61" s="52" t="s">
        <v>69</v>
      </c>
      <c r="Q61" s="51" t="s">
        <v>70</v>
      </c>
    </row>
    <row r="62" spans="1:17" ht="39.6" x14ac:dyDescent="0.25">
      <c r="A62" s="42" t="s">
        <v>124</v>
      </c>
      <c r="B62" s="43">
        <v>4</v>
      </c>
      <c r="C62" s="56" t="s">
        <v>132</v>
      </c>
      <c r="D62" s="89" t="s">
        <v>133</v>
      </c>
      <c r="E62" s="46" t="s">
        <v>66</v>
      </c>
      <c r="F62" s="43" t="s">
        <v>4</v>
      </c>
      <c r="G62" s="50">
        <v>45816</v>
      </c>
      <c r="H62" s="64" t="s">
        <v>134</v>
      </c>
      <c r="I62" s="49" t="s">
        <v>129</v>
      </c>
      <c r="J62" s="43"/>
      <c r="K62" s="43"/>
      <c r="L62" s="48"/>
      <c r="M62" s="43"/>
      <c r="N62" s="43"/>
      <c r="O62" s="43"/>
      <c r="P62" s="52" t="s">
        <v>69</v>
      </c>
      <c r="Q62" s="51" t="s">
        <v>70</v>
      </c>
    </row>
    <row r="63" spans="1:17" ht="39.6" x14ac:dyDescent="0.25">
      <c r="A63" s="42" t="s">
        <v>124</v>
      </c>
      <c r="B63" s="43">
        <v>5</v>
      </c>
      <c r="C63" s="56" t="s">
        <v>132</v>
      </c>
      <c r="D63" s="89" t="s">
        <v>133</v>
      </c>
      <c r="E63" s="46" t="s">
        <v>66</v>
      </c>
      <c r="F63" s="43" t="s">
        <v>4</v>
      </c>
      <c r="G63" s="50">
        <v>45816</v>
      </c>
      <c r="H63" s="64" t="s">
        <v>135</v>
      </c>
      <c r="I63" s="49" t="s">
        <v>129</v>
      </c>
      <c r="J63" s="43"/>
      <c r="K63" s="43"/>
      <c r="L63" s="48"/>
      <c r="M63" s="43"/>
      <c r="N63" s="43"/>
      <c r="O63" s="43"/>
      <c r="P63" s="52" t="s">
        <v>69</v>
      </c>
      <c r="Q63" s="51" t="s">
        <v>70</v>
      </c>
    </row>
    <row r="64" spans="1:17" ht="39.6" x14ac:dyDescent="0.25">
      <c r="A64" s="42" t="s">
        <v>124</v>
      </c>
      <c r="B64" s="43">
        <v>6</v>
      </c>
      <c r="C64" s="56" t="s">
        <v>132</v>
      </c>
      <c r="D64" s="89" t="s">
        <v>133</v>
      </c>
      <c r="E64" s="46" t="s">
        <v>66</v>
      </c>
      <c r="F64" s="43" t="s">
        <v>4</v>
      </c>
      <c r="G64" s="50">
        <v>45816</v>
      </c>
      <c r="H64" s="64" t="s">
        <v>136</v>
      </c>
      <c r="I64" s="49" t="s">
        <v>129</v>
      </c>
      <c r="J64" s="43"/>
      <c r="K64" s="43"/>
      <c r="L64" s="48"/>
      <c r="M64" s="43"/>
      <c r="N64" s="43"/>
      <c r="O64" s="43"/>
      <c r="P64" s="52" t="s">
        <v>69</v>
      </c>
      <c r="Q64" s="51" t="s">
        <v>70</v>
      </c>
    </row>
    <row r="65" spans="1:17" ht="39.6" x14ac:dyDescent="0.25">
      <c r="A65" s="42" t="s">
        <v>124</v>
      </c>
      <c r="B65" s="43">
        <v>7</v>
      </c>
      <c r="C65" s="44" t="s">
        <v>137</v>
      </c>
      <c r="D65" s="89" t="s">
        <v>138</v>
      </c>
      <c r="E65" s="58" t="s">
        <v>139</v>
      </c>
      <c r="F65" s="43" t="s">
        <v>4</v>
      </c>
      <c r="G65" s="50">
        <v>45816</v>
      </c>
      <c r="H65" s="64" t="s">
        <v>140</v>
      </c>
      <c r="I65" s="49" t="s">
        <v>129</v>
      </c>
      <c r="J65" s="43"/>
      <c r="K65" s="43"/>
      <c r="L65" s="48"/>
      <c r="M65" s="43"/>
      <c r="N65" s="43"/>
      <c r="O65" s="43"/>
      <c r="P65" s="52" t="s">
        <v>69</v>
      </c>
      <c r="Q65" s="51" t="s">
        <v>70</v>
      </c>
    </row>
    <row r="66" spans="1:17" ht="39.6" x14ac:dyDescent="0.25">
      <c r="A66" s="42" t="s">
        <v>124</v>
      </c>
      <c r="B66" s="43">
        <v>8</v>
      </c>
      <c r="C66" s="44" t="s">
        <v>137</v>
      </c>
      <c r="D66" s="89" t="s">
        <v>138</v>
      </c>
      <c r="E66" s="58" t="s">
        <v>139</v>
      </c>
      <c r="F66" s="43" t="s">
        <v>4</v>
      </c>
      <c r="G66" s="50">
        <v>45816</v>
      </c>
      <c r="H66" s="64" t="s">
        <v>140</v>
      </c>
      <c r="I66" s="49" t="s">
        <v>129</v>
      </c>
      <c r="J66" s="43"/>
      <c r="K66" s="43"/>
      <c r="L66" s="48"/>
      <c r="M66" s="43"/>
      <c r="N66" s="43"/>
      <c r="O66" s="43"/>
      <c r="P66" s="52" t="s">
        <v>69</v>
      </c>
      <c r="Q66" s="51" t="s">
        <v>70</v>
      </c>
    </row>
    <row r="67" spans="1:17" ht="39.6" x14ac:dyDescent="0.25">
      <c r="A67" s="42" t="s">
        <v>124</v>
      </c>
      <c r="B67" s="43">
        <v>9</v>
      </c>
      <c r="C67" s="44" t="s">
        <v>137</v>
      </c>
      <c r="D67" s="89" t="s">
        <v>138</v>
      </c>
      <c r="E67" s="58" t="s">
        <v>139</v>
      </c>
      <c r="F67" s="43" t="s">
        <v>4</v>
      </c>
      <c r="G67" s="50">
        <v>45816</v>
      </c>
      <c r="H67" s="64" t="s">
        <v>140</v>
      </c>
      <c r="I67" s="49" t="s">
        <v>129</v>
      </c>
      <c r="J67" s="43"/>
      <c r="K67" s="43"/>
      <c r="L67" s="48"/>
      <c r="M67" s="43"/>
      <c r="N67" s="43"/>
      <c r="O67" s="43"/>
      <c r="P67" s="52" t="s">
        <v>69</v>
      </c>
      <c r="Q67" s="51" t="s">
        <v>70</v>
      </c>
    </row>
    <row r="68" spans="1:17" ht="39.6" x14ac:dyDescent="0.25">
      <c r="A68" s="42" t="s">
        <v>124</v>
      </c>
      <c r="B68" s="43">
        <v>10</v>
      </c>
      <c r="C68" s="44" t="s">
        <v>141</v>
      </c>
      <c r="D68" s="89" t="s">
        <v>138</v>
      </c>
      <c r="E68" s="46" t="s">
        <v>66</v>
      </c>
      <c r="F68" s="43" t="s">
        <v>4</v>
      </c>
      <c r="G68" s="50">
        <v>45816</v>
      </c>
      <c r="H68" s="48" t="s">
        <v>142</v>
      </c>
      <c r="I68" s="49" t="s">
        <v>129</v>
      </c>
      <c r="J68" s="43"/>
      <c r="K68" s="43"/>
      <c r="L68" s="48"/>
      <c r="M68" s="43"/>
      <c r="N68" s="43"/>
      <c r="O68" s="43"/>
      <c r="P68" s="52" t="s">
        <v>69</v>
      </c>
      <c r="Q68" s="51" t="s">
        <v>70</v>
      </c>
    </row>
    <row r="69" spans="1:17" ht="39.6" x14ac:dyDescent="0.25">
      <c r="A69" s="42" t="s">
        <v>124</v>
      </c>
      <c r="B69" s="43">
        <v>11</v>
      </c>
      <c r="C69" s="44" t="s">
        <v>141</v>
      </c>
      <c r="D69" s="89" t="s">
        <v>138</v>
      </c>
      <c r="E69" s="46" t="s">
        <v>66</v>
      </c>
      <c r="F69" s="43" t="s">
        <v>4</v>
      </c>
      <c r="G69" s="50">
        <v>45816</v>
      </c>
      <c r="H69" s="48" t="s">
        <v>143</v>
      </c>
      <c r="I69" s="49" t="s">
        <v>129</v>
      </c>
      <c r="J69" s="43"/>
      <c r="K69" s="43"/>
      <c r="L69" s="48"/>
      <c r="M69" s="43"/>
      <c r="N69" s="43"/>
      <c r="O69" s="43"/>
      <c r="P69" s="52" t="s">
        <v>69</v>
      </c>
      <c r="Q69" s="51" t="s">
        <v>70</v>
      </c>
    </row>
    <row r="70" spans="1:17" ht="39.6" x14ac:dyDescent="0.25">
      <c r="A70" s="42" t="s">
        <v>124</v>
      </c>
      <c r="B70" s="43">
        <v>12</v>
      </c>
      <c r="C70" s="44" t="s">
        <v>141</v>
      </c>
      <c r="D70" s="89" t="s">
        <v>138</v>
      </c>
      <c r="E70" s="46" t="s">
        <v>66</v>
      </c>
      <c r="F70" s="43" t="s">
        <v>4</v>
      </c>
      <c r="G70" s="50">
        <v>45816</v>
      </c>
      <c r="H70" s="48" t="s">
        <v>144</v>
      </c>
      <c r="I70" s="49" t="s">
        <v>129</v>
      </c>
      <c r="J70" s="43"/>
      <c r="K70" s="43"/>
      <c r="L70" s="48"/>
      <c r="M70" s="43"/>
      <c r="N70" s="43"/>
      <c r="O70" s="43"/>
      <c r="P70" s="52" t="s">
        <v>69</v>
      </c>
      <c r="Q70" s="51" t="s">
        <v>70</v>
      </c>
    </row>
    <row r="71" spans="1:17" ht="39.6" x14ac:dyDescent="0.25">
      <c r="A71" s="42" t="s">
        <v>124</v>
      </c>
      <c r="B71" s="43">
        <v>13</v>
      </c>
      <c r="C71" s="44" t="s">
        <v>145</v>
      </c>
      <c r="D71" s="89" t="s">
        <v>138</v>
      </c>
      <c r="E71" s="46" t="s">
        <v>66</v>
      </c>
      <c r="F71" s="43" t="s">
        <v>4</v>
      </c>
      <c r="G71" s="50">
        <v>45818</v>
      </c>
      <c r="H71" s="48" t="s">
        <v>146</v>
      </c>
      <c r="I71" s="49" t="s">
        <v>68</v>
      </c>
      <c r="J71" s="43"/>
      <c r="K71" s="43"/>
      <c r="L71" s="48"/>
      <c r="M71" s="43"/>
      <c r="N71" s="43"/>
      <c r="O71" s="43"/>
      <c r="P71" s="52" t="s">
        <v>69</v>
      </c>
      <c r="Q71" s="51" t="s">
        <v>147</v>
      </c>
    </row>
    <row r="72" spans="1:17" ht="39.6" x14ac:dyDescent="0.25">
      <c r="A72" s="42" t="s">
        <v>124</v>
      </c>
      <c r="B72" s="43">
        <v>14</v>
      </c>
      <c r="C72" s="44" t="s">
        <v>145</v>
      </c>
      <c r="D72" s="89" t="s">
        <v>138</v>
      </c>
      <c r="E72" s="46" t="s">
        <v>66</v>
      </c>
      <c r="F72" s="43" t="s">
        <v>4</v>
      </c>
      <c r="G72" s="50">
        <v>45818</v>
      </c>
      <c r="H72" s="48" t="s">
        <v>148</v>
      </c>
      <c r="I72" s="49" t="s">
        <v>68</v>
      </c>
      <c r="J72" s="43"/>
      <c r="K72" s="43"/>
      <c r="L72" s="48"/>
      <c r="M72" s="43"/>
      <c r="N72" s="43"/>
      <c r="O72" s="43"/>
      <c r="P72" s="52" t="s">
        <v>69</v>
      </c>
      <c r="Q72" s="51" t="s">
        <v>147</v>
      </c>
    </row>
    <row r="73" spans="1:17" ht="39.6" x14ac:dyDescent="0.25">
      <c r="A73" s="42" t="s">
        <v>124</v>
      </c>
      <c r="B73" s="43">
        <v>15</v>
      </c>
      <c r="C73" s="44" t="s">
        <v>145</v>
      </c>
      <c r="D73" s="89" t="s">
        <v>138</v>
      </c>
      <c r="E73" s="46" t="s">
        <v>66</v>
      </c>
      <c r="F73" s="43" t="s">
        <v>4</v>
      </c>
      <c r="G73" s="50">
        <v>45818</v>
      </c>
      <c r="H73" s="48" t="s">
        <v>149</v>
      </c>
      <c r="I73" s="49" t="s">
        <v>68</v>
      </c>
      <c r="J73" s="43"/>
      <c r="K73" s="43"/>
      <c r="L73" s="48"/>
      <c r="M73" s="43"/>
      <c r="N73" s="43"/>
      <c r="O73" s="43"/>
      <c r="P73" s="52" t="s">
        <v>69</v>
      </c>
      <c r="Q73" s="51" t="s">
        <v>147</v>
      </c>
    </row>
    <row r="74" spans="1:17" ht="39.6" x14ac:dyDescent="0.25">
      <c r="A74" s="42" t="s">
        <v>124</v>
      </c>
      <c r="B74" s="43">
        <v>16</v>
      </c>
      <c r="C74" s="44" t="s">
        <v>150</v>
      </c>
      <c r="D74" s="89" t="s">
        <v>133</v>
      </c>
      <c r="E74" s="44" t="s">
        <v>151</v>
      </c>
      <c r="F74" s="43" t="s">
        <v>4</v>
      </c>
      <c r="G74" s="50">
        <v>45819</v>
      </c>
      <c r="H74" s="48" t="s">
        <v>152</v>
      </c>
      <c r="I74" s="49" t="s">
        <v>68</v>
      </c>
      <c r="J74" s="43"/>
      <c r="K74" s="43"/>
      <c r="L74" s="48"/>
      <c r="M74" s="43"/>
      <c r="N74" s="43"/>
      <c r="O74" s="43"/>
      <c r="P74" s="52" t="s">
        <v>69</v>
      </c>
      <c r="Q74" s="51" t="s">
        <v>70</v>
      </c>
    </row>
    <row r="75" spans="1:17" ht="39.6" x14ac:dyDescent="0.25">
      <c r="A75" s="42" t="s">
        <v>124</v>
      </c>
      <c r="B75" s="43">
        <v>17</v>
      </c>
      <c r="C75" s="44" t="s">
        <v>150</v>
      </c>
      <c r="D75" s="89" t="s">
        <v>133</v>
      </c>
      <c r="E75" s="44" t="s">
        <v>151</v>
      </c>
      <c r="F75" s="43" t="s">
        <v>4</v>
      </c>
      <c r="G75" s="50">
        <v>45819</v>
      </c>
      <c r="H75" s="48" t="s">
        <v>153</v>
      </c>
      <c r="I75" s="49" t="s">
        <v>68</v>
      </c>
      <c r="J75" s="43"/>
      <c r="K75" s="43"/>
      <c r="L75" s="48"/>
      <c r="M75" s="43"/>
      <c r="N75" s="43"/>
      <c r="O75" s="43"/>
      <c r="P75" s="52" t="s">
        <v>69</v>
      </c>
      <c r="Q75" s="51" t="s">
        <v>70</v>
      </c>
    </row>
    <row r="76" spans="1:17" ht="39.6" x14ac:dyDescent="0.25">
      <c r="A76" s="42" t="s">
        <v>124</v>
      </c>
      <c r="B76" s="43">
        <v>18</v>
      </c>
      <c r="C76" s="44" t="s">
        <v>150</v>
      </c>
      <c r="D76" s="89" t="s">
        <v>133</v>
      </c>
      <c r="E76" s="44" t="s">
        <v>151</v>
      </c>
      <c r="F76" s="43" t="s">
        <v>4</v>
      </c>
      <c r="G76" s="50">
        <v>45819</v>
      </c>
      <c r="H76" s="48" t="s">
        <v>154</v>
      </c>
      <c r="I76" s="49" t="s">
        <v>68</v>
      </c>
      <c r="J76" s="43"/>
      <c r="K76" s="43"/>
      <c r="L76" s="48"/>
      <c r="M76" s="43"/>
      <c r="N76" s="43"/>
      <c r="O76" s="43"/>
      <c r="P76" s="52" t="s">
        <v>69</v>
      </c>
      <c r="Q76" s="51" t="s">
        <v>70</v>
      </c>
    </row>
    <row r="77" spans="1:17" ht="39.6" x14ac:dyDescent="0.25">
      <c r="A77" s="42" t="s">
        <v>124</v>
      </c>
      <c r="B77" s="43">
        <v>19</v>
      </c>
      <c r="C77" s="44" t="s">
        <v>155</v>
      </c>
      <c r="D77" s="89" t="s">
        <v>133</v>
      </c>
      <c r="E77" s="44" t="s">
        <v>151</v>
      </c>
      <c r="F77" s="43" t="s">
        <v>4</v>
      </c>
      <c r="G77" s="50">
        <v>45819</v>
      </c>
      <c r="H77" s="48" t="s">
        <v>156</v>
      </c>
      <c r="I77" s="49" t="s">
        <v>68</v>
      </c>
      <c r="J77" s="43"/>
      <c r="K77" s="43"/>
      <c r="L77" s="48"/>
      <c r="M77" s="43"/>
      <c r="N77" s="43"/>
      <c r="O77" s="43"/>
      <c r="P77" s="52" t="s">
        <v>69</v>
      </c>
      <c r="Q77" s="51" t="s">
        <v>70</v>
      </c>
    </row>
    <row r="78" spans="1:17" ht="39.6" x14ac:dyDescent="0.25">
      <c r="A78" s="42" t="s">
        <v>124</v>
      </c>
      <c r="B78" s="43">
        <v>20</v>
      </c>
      <c r="C78" s="44" t="s">
        <v>155</v>
      </c>
      <c r="D78" s="89" t="s">
        <v>133</v>
      </c>
      <c r="E78" s="44" t="s">
        <v>151</v>
      </c>
      <c r="F78" s="43" t="s">
        <v>4</v>
      </c>
      <c r="G78" s="50">
        <v>45819</v>
      </c>
      <c r="H78" s="48" t="s">
        <v>157</v>
      </c>
      <c r="I78" s="49" t="s">
        <v>68</v>
      </c>
      <c r="J78" s="43"/>
      <c r="K78" s="43"/>
      <c r="L78" s="48"/>
      <c r="M78" s="43"/>
      <c r="N78" s="43"/>
      <c r="O78" s="43"/>
      <c r="P78" s="52" t="s">
        <v>69</v>
      </c>
      <c r="Q78" s="51" t="s">
        <v>70</v>
      </c>
    </row>
    <row r="79" spans="1:17" ht="39.6" x14ac:dyDescent="0.25">
      <c r="A79" s="42" t="s">
        <v>124</v>
      </c>
      <c r="B79" s="43">
        <v>21</v>
      </c>
      <c r="C79" s="44" t="s">
        <v>155</v>
      </c>
      <c r="D79" s="89" t="s">
        <v>133</v>
      </c>
      <c r="E79" s="44" t="s">
        <v>151</v>
      </c>
      <c r="F79" s="43" t="s">
        <v>4</v>
      </c>
      <c r="G79" s="50">
        <v>45819</v>
      </c>
      <c r="H79" s="48" t="s">
        <v>158</v>
      </c>
      <c r="I79" s="49" t="s">
        <v>68</v>
      </c>
      <c r="J79" s="43"/>
      <c r="K79" s="43"/>
      <c r="L79" s="48"/>
      <c r="M79" s="43"/>
      <c r="N79" s="43"/>
      <c r="O79" s="43"/>
      <c r="P79" s="52" t="s">
        <v>69</v>
      </c>
      <c r="Q79" s="51" t="s">
        <v>70</v>
      </c>
    </row>
    <row r="80" spans="1:17" ht="39.6" x14ac:dyDescent="0.25">
      <c r="A80" s="42" t="s">
        <v>124</v>
      </c>
      <c r="B80" s="43">
        <v>22</v>
      </c>
      <c r="C80" s="44" t="s">
        <v>159</v>
      </c>
      <c r="D80" s="89" t="s">
        <v>133</v>
      </c>
      <c r="E80" s="44" t="s">
        <v>160</v>
      </c>
      <c r="F80" s="43" t="s">
        <v>4</v>
      </c>
      <c r="G80" s="50">
        <v>45819</v>
      </c>
      <c r="H80" s="48" t="s">
        <v>161</v>
      </c>
      <c r="I80" s="49" t="s">
        <v>68</v>
      </c>
      <c r="J80" s="43"/>
      <c r="K80" s="43"/>
      <c r="L80" s="48"/>
      <c r="M80" s="43"/>
      <c r="N80" s="43"/>
      <c r="O80" s="43"/>
      <c r="P80" s="52" t="s">
        <v>69</v>
      </c>
      <c r="Q80" s="51" t="s">
        <v>70</v>
      </c>
    </row>
    <row r="81" spans="1:17" ht="39.6" x14ac:dyDescent="0.25">
      <c r="A81" s="42" t="s">
        <v>124</v>
      </c>
      <c r="B81" s="43">
        <v>23</v>
      </c>
      <c r="C81" s="44" t="s">
        <v>159</v>
      </c>
      <c r="D81" s="89" t="s">
        <v>133</v>
      </c>
      <c r="E81" s="44" t="s">
        <v>160</v>
      </c>
      <c r="F81" s="43" t="s">
        <v>4</v>
      </c>
      <c r="G81" s="50">
        <v>45819</v>
      </c>
      <c r="H81" s="48" t="s">
        <v>162</v>
      </c>
      <c r="I81" s="49" t="s">
        <v>68</v>
      </c>
      <c r="J81" s="43"/>
      <c r="K81" s="43"/>
      <c r="L81" s="48"/>
      <c r="M81" s="43"/>
      <c r="N81" s="43"/>
      <c r="O81" s="43"/>
      <c r="P81" s="52" t="s">
        <v>69</v>
      </c>
      <c r="Q81" s="51" t="s">
        <v>70</v>
      </c>
    </row>
    <row r="82" spans="1:17" ht="39.6" x14ac:dyDescent="0.25">
      <c r="A82" s="42" t="s">
        <v>124</v>
      </c>
      <c r="B82" s="43">
        <v>24</v>
      </c>
      <c r="C82" s="44" t="s">
        <v>159</v>
      </c>
      <c r="D82" s="89" t="s">
        <v>133</v>
      </c>
      <c r="E82" s="44" t="s">
        <v>160</v>
      </c>
      <c r="F82" s="43" t="s">
        <v>4</v>
      </c>
      <c r="G82" s="50">
        <v>45819</v>
      </c>
      <c r="H82" s="48" t="s">
        <v>163</v>
      </c>
      <c r="I82" s="49" t="s">
        <v>68</v>
      </c>
      <c r="J82" s="43"/>
      <c r="K82" s="43"/>
      <c r="L82" s="48"/>
      <c r="M82" s="43"/>
      <c r="N82" s="43"/>
      <c r="O82" s="43"/>
      <c r="P82" s="52" t="s">
        <v>69</v>
      </c>
      <c r="Q82" s="51" t="s">
        <v>70</v>
      </c>
    </row>
    <row r="83" spans="1:17" ht="39.6" x14ac:dyDescent="0.25">
      <c r="A83" s="42" t="s">
        <v>124</v>
      </c>
      <c r="B83" s="43">
        <v>25</v>
      </c>
      <c r="C83" s="44" t="s">
        <v>164</v>
      </c>
      <c r="D83" s="89" t="s">
        <v>133</v>
      </c>
      <c r="E83" s="44" t="s">
        <v>160</v>
      </c>
      <c r="F83" s="43" t="s">
        <v>4</v>
      </c>
      <c r="G83" s="50">
        <v>45819</v>
      </c>
      <c r="H83" s="48" t="s">
        <v>165</v>
      </c>
      <c r="I83" s="49" t="s">
        <v>68</v>
      </c>
      <c r="J83" s="43"/>
      <c r="K83" s="43"/>
      <c r="L83" s="48"/>
      <c r="M83" s="43"/>
      <c r="N83" s="43"/>
      <c r="O83" s="43"/>
      <c r="P83" s="52" t="s">
        <v>69</v>
      </c>
      <c r="Q83" s="51" t="s">
        <v>70</v>
      </c>
    </row>
    <row r="84" spans="1:17" ht="39.6" x14ac:dyDescent="0.25">
      <c r="A84" s="42" t="s">
        <v>124</v>
      </c>
      <c r="B84" s="43">
        <v>26</v>
      </c>
      <c r="C84" s="44" t="s">
        <v>164</v>
      </c>
      <c r="D84" s="89" t="s">
        <v>133</v>
      </c>
      <c r="E84" s="44" t="s">
        <v>160</v>
      </c>
      <c r="F84" s="43" t="s">
        <v>4</v>
      </c>
      <c r="G84" s="50">
        <v>45819</v>
      </c>
      <c r="H84" s="48" t="s">
        <v>166</v>
      </c>
      <c r="I84" s="49" t="s">
        <v>68</v>
      </c>
      <c r="J84" s="43"/>
      <c r="K84" s="43"/>
      <c r="L84" s="48"/>
      <c r="M84" s="43"/>
      <c r="N84" s="43"/>
      <c r="O84" s="43"/>
      <c r="P84" s="52" t="s">
        <v>69</v>
      </c>
      <c r="Q84" s="51" t="s">
        <v>70</v>
      </c>
    </row>
    <row r="85" spans="1:17" ht="39.6" x14ac:dyDescent="0.25">
      <c r="A85" s="42" t="s">
        <v>124</v>
      </c>
      <c r="B85" s="43">
        <v>27</v>
      </c>
      <c r="C85" s="44" t="s">
        <v>164</v>
      </c>
      <c r="D85" s="89" t="s">
        <v>133</v>
      </c>
      <c r="E85" s="44" t="s">
        <v>160</v>
      </c>
      <c r="F85" s="43" t="s">
        <v>4</v>
      </c>
      <c r="G85" s="50">
        <v>45819</v>
      </c>
      <c r="H85" s="48" t="s">
        <v>167</v>
      </c>
      <c r="I85" s="49" t="s">
        <v>68</v>
      </c>
      <c r="J85" s="43"/>
      <c r="K85" s="43"/>
      <c r="L85" s="48"/>
      <c r="M85" s="43"/>
      <c r="N85" s="43"/>
      <c r="O85" s="43"/>
      <c r="P85" s="52" t="s">
        <v>69</v>
      </c>
      <c r="Q85" s="51" t="s">
        <v>70</v>
      </c>
    </row>
    <row r="86" spans="1:17" ht="39.6" x14ac:dyDescent="0.25">
      <c r="A86" s="42" t="s">
        <v>124</v>
      </c>
      <c r="B86" s="43">
        <v>28</v>
      </c>
      <c r="C86" s="44" t="s">
        <v>168</v>
      </c>
      <c r="D86" s="89" t="s">
        <v>133</v>
      </c>
      <c r="E86" s="46" t="s">
        <v>66</v>
      </c>
      <c r="F86" s="43" t="s">
        <v>4</v>
      </c>
      <c r="G86" s="50">
        <v>45819</v>
      </c>
      <c r="H86" s="48" t="s">
        <v>169</v>
      </c>
      <c r="I86" s="49" t="s">
        <v>68</v>
      </c>
      <c r="J86" s="43"/>
      <c r="K86" s="43"/>
      <c r="L86" s="48"/>
      <c r="M86" s="43"/>
      <c r="N86" s="43"/>
      <c r="O86" s="43"/>
      <c r="P86" s="52" t="s">
        <v>69</v>
      </c>
      <c r="Q86" s="51" t="s">
        <v>70</v>
      </c>
    </row>
    <row r="87" spans="1:17" ht="39.6" x14ac:dyDescent="0.25">
      <c r="A87" s="42" t="s">
        <v>124</v>
      </c>
      <c r="B87" s="43">
        <v>29</v>
      </c>
      <c r="C87" s="44" t="s">
        <v>168</v>
      </c>
      <c r="D87" s="89" t="s">
        <v>133</v>
      </c>
      <c r="E87" s="46" t="s">
        <v>66</v>
      </c>
      <c r="F87" s="43" t="s">
        <v>4</v>
      </c>
      <c r="G87" s="50">
        <v>45819</v>
      </c>
      <c r="H87" s="48" t="s">
        <v>170</v>
      </c>
      <c r="I87" s="49" t="s">
        <v>68</v>
      </c>
      <c r="J87" s="43"/>
      <c r="K87" s="43"/>
      <c r="L87" s="48"/>
      <c r="M87" s="43"/>
      <c r="N87" s="43"/>
      <c r="O87" s="43"/>
      <c r="P87" s="52" t="s">
        <v>69</v>
      </c>
      <c r="Q87" s="51" t="s">
        <v>70</v>
      </c>
    </row>
    <row r="88" spans="1:17" ht="39.6" x14ac:dyDescent="0.25">
      <c r="A88" s="42" t="s">
        <v>124</v>
      </c>
      <c r="B88" s="43">
        <v>30</v>
      </c>
      <c r="C88" s="44" t="s">
        <v>168</v>
      </c>
      <c r="D88" s="89" t="s">
        <v>133</v>
      </c>
      <c r="E88" s="46" t="s">
        <v>66</v>
      </c>
      <c r="F88" s="43" t="s">
        <v>4</v>
      </c>
      <c r="G88" s="50">
        <v>45819</v>
      </c>
      <c r="H88" s="48" t="s">
        <v>171</v>
      </c>
      <c r="I88" s="49" t="s">
        <v>68</v>
      </c>
      <c r="J88" s="43"/>
      <c r="K88" s="43"/>
      <c r="L88" s="48"/>
      <c r="M88" s="43"/>
      <c r="N88" s="43"/>
      <c r="O88" s="43"/>
      <c r="P88" s="52" t="s">
        <v>69</v>
      </c>
      <c r="Q88" s="51" t="s">
        <v>70</v>
      </c>
    </row>
    <row r="89" spans="1:17" ht="39.6" x14ac:dyDescent="0.25">
      <c r="A89" s="42" t="s">
        <v>124</v>
      </c>
      <c r="B89" s="43">
        <v>31</v>
      </c>
      <c r="C89" s="44" t="s">
        <v>172</v>
      </c>
      <c r="D89" s="89" t="s">
        <v>133</v>
      </c>
      <c r="E89" s="46" t="s">
        <v>66</v>
      </c>
      <c r="F89" s="43" t="s">
        <v>4</v>
      </c>
      <c r="G89" s="50">
        <v>45819</v>
      </c>
      <c r="H89" s="48" t="s">
        <v>173</v>
      </c>
      <c r="I89" s="49" t="s">
        <v>68</v>
      </c>
      <c r="J89" s="43"/>
      <c r="K89" s="43"/>
      <c r="L89" s="48"/>
      <c r="M89" s="43"/>
      <c r="N89" s="43"/>
      <c r="O89" s="43"/>
      <c r="P89" s="52" t="s">
        <v>69</v>
      </c>
      <c r="Q89" s="51" t="s">
        <v>70</v>
      </c>
    </row>
    <row r="90" spans="1:17" ht="39.6" x14ac:dyDescent="0.25">
      <c r="A90" s="42" t="s">
        <v>124</v>
      </c>
      <c r="B90" s="43">
        <v>32</v>
      </c>
      <c r="C90" s="44" t="s">
        <v>172</v>
      </c>
      <c r="D90" s="89" t="s">
        <v>133</v>
      </c>
      <c r="E90" s="46" t="s">
        <v>66</v>
      </c>
      <c r="F90" s="43" t="s">
        <v>4</v>
      </c>
      <c r="G90" s="50">
        <v>45819</v>
      </c>
      <c r="H90" s="48" t="s">
        <v>174</v>
      </c>
      <c r="I90" s="49" t="s">
        <v>68</v>
      </c>
      <c r="J90" s="43"/>
      <c r="K90" s="43"/>
      <c r="L90" s="48"/>
      <c r="M90" s="43"/>
      <c r="N90" s="43"/>
      <c r="O90" s="43"/>
      <c r="P90" s="52" t="s">
        <v>69</v>
      </c>
      <c r="Q90" s="51" t="s">
        <v>70</v>
      </c>
    </row>
    <row r="91" spans="1:17" ht="39.6" x14ac:dyDescent="0.25">
      <c r="A91" s="42" t="s">
        <v>124</v>
      </c>
      <c r="B91" s="43">
        <v>33</v>
      </c>
      <c r="C91" s="44" t="s">
        <v>172</v>
      </c>
      <c r="D91" s="89" t="s">
        <v>133</v>
      </c>
      <c r="E91" s="46" t="s">
        <v>66</v>
      </c>
      <c r="F91" s="43" t="s">
        <v>4</v>
      </c>
      <c r="G91" s="50">
        <v>45819</v>
      </c>
      <c r="H91" s="48" t="s">
        <v>175</v>
      </c>
      <c r="I91" s="49" t="s">
        <v>68</v>
      </c>
      <c r="J91" s="43"/>
      <c r="K91" s="43"/>
      <c r="L91" s="48"/>
      <c r="M91" s="43"/>
      <c r="N91" s="43"/>
      <c r="O91" s="43"/>
      <c r="P91" s="52" t="s">
        <v>69</v>
      </c>
      <c r="Q91" s="51" t="s">
        <v>70</v>
      </c>
    </row>
    <row r="92" spans="1:17" ht="39.6" x14ac:dyDescent="0.25">
      <c r="A92" s="42" t="s">
        <v>124</v>
      </c>
      <c r="B92" s="43">
        <v>34</v>
      </c>
      <c r="C92" s="44" t="s">
        <v>176</v>
      </c>
      <c r="D92" s="89" t="s">
        <v>133</v>
      </c>
      <c r="E92" s="46" t="s">
        <v>66</v>
      </c>
      <c r="F92" s="43" t="s">
        <v>4</v>
      </c>
      <c r="G92" s="50">
        <v>45819</v>
      </c>
      <c r="H92" s="48" t="s">
        <v>177</v>
      </c>
      <c r="I92" s="49" t="s">
        <v>68</v>
      </c>
      <c r="J92" s="43"/>
      <c r="K92" s="43"/>
      <c r="L92" s="48"/>
      <c r="M92" s="43"/>
      <c r="N92" s="43"/>
      <c r="O92" s="43"/>
      <c r="P92" s="52" t="s">
        <v>69</v>
      </c>
      <c r="Q92" s="51" t="s">
        <v>70</v>
      </c>
    </row>
    <row r="93" spans="1:17" ht="39.6" x14ac:dyDescent="0.25">
      <c r="A93" s="42" t="s">
        <v>124</v>
      </c>
      <c r="B93" s="43">
        <v>35</v>
      </c>
      <c r="C93" s="44" t="s">
        <v>176</v>
      </c>
      <c r="D93" s="89" t="s">
        <v>133</v>
      </c>
      <c r="E93" s="46" t="s">
        <v>66</v>
      </c>
      <c r="F93" s="43" t="s">
        <v>4</v>
      </c>
      <c r="G93" s="50">
        <v>45819</v>
      </c>
      <c r="H93" s="48" t="s">
        <v>178</v>
      </c>
      <c r="I93" s="49" t="s">
        <v>68</v>
      </c>
      <c r="J93" s="43"/>
      <c r="K93" s="43"/>
      <c r="L93" s="48"/>
      <c r="M93" s="43"/>
      <c r="N93" s="43"/>
      <c r="O93" s="43"/>
      <c r="P93" s="52" t="s">
        <v>69</v>
      </c>
      <c r="Q93" s="51" t="s">
        <v>70</v>
      </c>
    </row>
    <row r="94" spans="1:17" ht="39.6" x14ac:dyDescent="0.25">
      <c r="A94" s="42" t="s">
        <v>124</v>
      </c>
      <c r="B94" s="43">
        <v>36</v>
      </c>
      <c r="C94" s="44" t="s">
        <v>176</v>
      </c>
      <c r="D94" s="89" t="s">
        <v>133</v>
      </c>
      <c r="E94" s="46" t="s">
        <v>66</v>
      </c>
      <c r="F94" s="43" t="s">
        <v>4</v>
      </c>
      <c r="G94" s="50">
        <v>45819</v>
      </c>
      <c r="H94" s="48" t="s">
        <v>179</v>
      </c>
      <c r="I94" s="49" t="s">
        <v>68</v>
      </c>
      <c r="J94" s="43"/>
      <c r="K94" s="43"/>
      <c r="L94" s="48"/>
      <c r="M94" s="43"/>
      <c r="N94" s="43"/>
      <c r="O94" s="43"/>
      <c r="P94" s="52" t="s">
        <v>69</v>
      </c>
      <c r="Q94" s="51" t="s">
        <v>70</v>
      </c>
    </row>
    <row r="95" spans="1:17" ht="39.6" x14ac:dyDescent="0.25">
      <c r="A95" s="42" t="s">
        <v>124</v>
      </c>
      <c r="B95" s="43">
        <v>37</v>
      </c>
      <c r="C95" s="44" t="s">
        <v>180</v>
      </c>
      <c r="D95" s="89" t="s">
        <v>133</v>
      </c>
      <c r="E95" s="46" t="s">
        <v>66</v>
      </c>
      <c r="F95" s="43" t="s">
        <v>4</v>
      </c>
      <c r="G95" s="50">
        <v>45819</v>
      </c>
      <c r="H95" s="48" t="s">
        <v>181</v>
      </c>
      <c r="I95" s="49" t="s">
        <v>68</v>
      </c>
      <c r="J95" s="43"/>
      <c r="K95" s="43"/>
      <c r="L95" s="48"/>
      <c r="M95" s="43"/>
      <c r="N95" s="43"/>
      <c r="O95" s="43"/>
      <c r="P95" s="52" t="s">
        <v>69</v>
      </c>
      <c r="Q95" s="51" t="s">
        <v>70</v>
      </c>
    </row>
    <row r="96" spans="1:17" ht="39.6" x14ac:dyDescent="0.25">
      <c r="A96" s="42" t="s">
        <v>124</v>
      </c>
      <c r="B96" s="43">
        <v>38</v>
      </c>
      <c r="C96" s="44" t="s">
        <v>180</v>
      </c>
      <c r="D96" s="89" t="s">
        <v>133</v>
      </c>
      <c r="E96" s="46" t="s">
        <v>66</v>
      </c>
      <c r="F96" s="43" t="s">
        <v>4</v>
      </c>
      <c r="G96" s="50">
        <v>45819</v>
      </c>
      <c r="H96" s="48" t="s">
        <v>182</v>
      </c>
      <c r="I96" s="49" t="s">
        <v>68</v>
      </c>
      <c r="J96" s="43"/>
      <c r="K96" s="43"/>
      <c r="L96" s="48"/>
      <c r="M96" s="43"/>
      <c r="N96" s="43"/>
      <c r="O96" s="43"/>
      <c r="P96" s="52" t="s">
        <v>69</v>
      </c>
      <c r="Q96" s="51" t="s">
        <v>70</v>
      </c>
    </row>
    <row r="97" spans="1:17" ht="39.6" x14ac:dyDescent="0.25">
      <c r="A97" s="42" t="s">
        <v>124</v>
      </c>
      <c r="B97" s="43">
        <v>39</v>
      </c>
      <c r="C97" s="44" t="s">
        <v>180</v>
      </c>
      <c r="D97" s="89" t="s">
        <v>133</v>
      </c>
      <c r="E97" s="46" t="s">
        <v>66</v>
      </c>
      <c r="F97" s="43" t="s">
        <v>4</v>
      </c>
      <c r="G97" s="50">
        <v>45819</v>
      </c>
      <c r="H97" s="48" t="s">
        <v>183</v>
      </c>
      <c r="I97" s="49" t="s">
        <v>68</v>
      </c>
      <c r="J97" s="43"/>
      <c r="K97" s="43"/>
      <c r="L97" s="48"/>
      <c r="M97" s="43"/>
      <c r="N97" s="43"/>
      <c r="O97" s="43"/>
      <c r="P97" s="52" t="s">
        <v>69</v>
      </c>
      <c r="Q97" s="51" t="s">
        <v>70</v>
      </c>
    </row>
    <row r="98" spans="1:17" ht="39.6" x14ac:dyDescent="0.25">
      <c r="A98" s="42" t="s">
        <v>124</v>
      </c>
      <c r="B98" s="43">
        <v>40</v>
      </c>
      <c r="C98" s="44" t="s">
        <v>184</v>
      </c>
      <c r="D98" s="89" t="s">
        <v>133</v>
      </c>
      <c r="E98" s="46" t="s">
        <v>66</v>
      </c>
      <c r="F98" s="43" t="s">
        <v>4</v>
      </c>
      <c r="G98" s="50">
        <v>45820</v>
      </c>
      <c r="H98" s="48" t="s">
        <v>185</v>
      </c>
      <c r="I98" s="49" t="s">
        <v>68</v>
      </c>
      <c r="J98" s="43"/>
      <c r="K98" s="43"/>
      <c r="L98" s="48"/>
      <c r="M98" s="43"/>
      <c r="N98" s="43"/>
      <c r="O98" s="43"/>
      <c r="P98" s="52" t="s">
        <v>69</v>
      </c>
      <c r="Q98" s="51" t="s">
        <v>186</v>
      </c>
    </row>
    <row r="99" spans="1:17" ht="39.6" x14ac:dyDescent="0.25">
      <c r="A99" s="42" t="s">
        <v>124</v>
      </c>
      <c r="B99" s="43">
        <v>41</v>
      </c>
      <c r="C99" s="44" t="s">
        <v>184</v>
      </c>
      <c r="D99" s="89" t="s">
        <v>133</v>
      </c>
      <c r="E99" s="46" t="s">
        <v>66</v>
      </c>
      <c r="F99" s="43" t="s">
        <v>4</v>
      </c>
      <c r="G99" s="50">
        <v>45820</v>
      </c>
      <c r="H99" s="48" t="s">
        <v>187</v>
      </c>
      <c r="I99" s="49" t="s">
        <v>68</v>
      </c>
      <c r="J99" s="43"/>
      <c r="K99" s="43"/>
      <c r="L99" s="48"/>
      <c r="M99" s="43"/>
      <c r="N99" s="43"/>
      <c r="O99" s="43"/>
      <c r="P99" s="52" t="s">
        <v>69</v>
      </c>
      <c r="Q99" s="51" t="s">
        <v>186</v>
      </c>
    </row>
    <row r="100" spans="1:17" ht="39.6" x14ac:dyDescent="0.25">
      <c r="A100" s="42" t="s">
        <v>124</v>
      </c>
      <c r="B100" s="43">
        <v>42</v>
      </c>
      <c r="C100" s="44" t="s">
        <v>184</v>
      </c>
      <c r="D100" s="89" t="s">
        <v>133</v>
      </c>
      <c r="E100" s="46" t="s">
        <v>66</v>
      </c>
      <c r="F100" s="43" t="s">
        <v>4</v>
      </c>
      <c r="G100" s="50">
        <v>45820</v>
      </c>
      <c r="H100" s="48" t="s">
        <v>188</v>
      </c>
      <c r="I100" s="49" t="s">
        <v>68</v>
      </c>
      <c r="J100" s="43"/>
      <c r="K100" s="43"/>
      <c r="L100" s="48"/>
      <c r="M100" s="43"/>
      <c r="N100" s="43"/>
      <c r="O100" s="43"/>
      <c r="P100" s="52" t="s">
        <v>69</v>
      </c>
      <c r="Q100" s="51" t="s">
        <v>186</v>
      </c>
    </row>
    <row r="101" spans="1:17" ht="39.6" x14ac:dyDescent="0.25">
      <c r="A101" s="42" t="s">
        <v>124</v>
      </c>
      <c r="B101" s="43">
        <v>43</v>
      </c>
      <c r="C101" s="44" t="s">
        <v>189</v>
      </c>
      <c r="D101" s="89" t="s">
        <v>133</v>
      </c>
      <c r="E101" s="46" t="s">
        <v>66</v>
      </c>
      <c r="F101" s="43" t="s">
        <v>4</v>
      </c>
      <c r="G101" s="50">
        <v>45820</v>
      </c>
      <c r="H101" s="48" t="s">
        <v>190</v>
      </c>
      <c r="I101" s="49" t="s">
        <v>68</v>
      </c>
      <c r="J101" s="43"/>
      <c r="K101" s="43"/>
      <c r="L101" s="48"/>
      <c r="M101" s="43"/>
      <c r="N101" s="43"/>
      <c r="O101" s="43"/>
      <c r="P101" s="52" t="s">
        <v>69</v>
      </c>
      <c r="Q101" s="51" t="s">
        <v>186</v>
      </c>
    </row>
    <row r="102" spans="1:17" ht="39.6" x14ac:dyDescent="0.25">
      <c r="A102" s="42" t="s">
        <v>124</v>
      </c>
      <c r="B102" s="43">
        <v>44</v>
      </c>
      <c r="C102" s="44" t="s">
        <v>189</v>
      </c>
      <c r="D102" s="89" t="s">
        <v>133</v>
      </c>
      <c r="E102" s="46" t="s">
        <v>66</v>
      </c>
      <c r="F102" s="43" t="s">
        <v>4</v>
      </c>
      <c r="G102" s="50">
        <v>45820</v>
      </c>
      <c r="H102" s="48" t="s">
        <v>191</v>
      </c>
      <c r="I102" s="49" t="s">
        <v>68</v>
      </c>
      <c r="J102" s="43"/>
      <c r="K102" s="43"/>
      <c r="L102" s="48"/>
      <c r="M102" s="43"/>
      <c r="N102" s="43"/>
      <c r="O102" s="43"/>
      <c r="P102" s="52" t="s">
        <v>69</v>
      </c>
      <c r="Q102" s="51" t="s">
        <v>186</v>
      </c>
    </row>
    <row r="103" spans="1:17" ht="39.6" x14ac:dyDescent="0.25">
      <c r="A103" s="42" t="s">
        <v>124</v>
      </c>
      <c r="B103" s="43">
        <v>45</v>
      </c>
      <c r="C103" s="44" t="s">
        <v>189</v>
      </c>
      <c r="D103" s="89" t="s">
        <v>133</v>
      </c>
      <c r="E103" s="46" t="s">
        <v>66</v>
      </c>
      <c r="F103" s="43" t="s">
        <v>4</v>
      </c>
      <c r="G103" s="50">
        <v>45820</v>
      </c>
      <c r="H103" s="48" t="s">
        <v>192</v>
      </c>
      <c r="I103" s="49" t="s">
        <v>68</v>
      </c>
      <c r="J103" s="43"/>
      <c r="K103" s="43"/>
      <c r="L103" s="48"/>
      <c r="M103" s="43"/>
      <c r="N103" s="43"/>
      <c r="O103" s="43"/>
      <c r="P103" s="52" t="s">
        <v>69</v>
      </c>
      <c r="Q103" s="51" t="s">
        <v>186</v>
      </c>
    </row>
    <row r="104" spans="1:17" ht="39.6" x14ac:dyDescent="0.25">
      <c r="A104" s="42" t="s">
        <v>124</v>
      </c>
      <c r="B104" s="43">
        <v>46</v>
      </c>
      <c r="C104" s="44" t="s">
        <v>193</v>
      </c>
      <c r="D104" s="89" t="s">
        <v>133</v>
      </c>
      <c r="E104" s="46" t="s">
        <v>66</v>
      </c>
      <c r="F104" s="43" t="s">
        <v>4</v>
      </c>
      <c r="G104" s="50">
        <v>45820</v>
      </c>
      <c r="H104" s="48" t="s">
        <v>194</v>
      </c>
      <c r="I104" s="49" t="s">
        <v>68</v>
      </c>
      <c r="J104" s="43"/>
      <c r="K104" s="43"/>
      <c r="L104" s="48"/>
      <c r="M104" s="43"/>
      <c r="N104" s="43"/>
      <c r="O104" s="43"/>
      <c r="P104" s="52" t="s">
        <v>69</v>
      </c>
      <c r="Q104" s="51" t="s">
        <v>186</v>
      </c>
    </row>
    <row r="105" spans="1:17" ht="39.6" x14ac:dyDescent="0.25">
      <c r="A105" s="42" t="s">
        <v>124</v>
      </c>
      <c r="B105" s="43">
        <v>47</v>
      </c>
      <c r="C105" s="44" t="s">
        <v>193</v>
      </c>
      <c r="D105" s="89" t="s">
        <v>133</v>
      </c>
      <c r="E105" s="46" t="s">
        <v>66</v>
      </c>
      <c r="F105" s="43" t="s">
        <v>4</v>
      </c>
      <c r="G105" s="50">
        <v>45820</v>
      </c>
      <c r="H105" s="48" t="s">
        <v>195</v>
      </c>
      <c r="I105" s="49" t="s">
        <v>68</v>
      </c>
      <c r="J105" s="43"/>
      <c r="K105" s="43"/>
      <c r="L105" s="48"/>
      <c r="M105" s="43"/>
      <c r="N105" s="43"/>
      <c r="O105" s="43"/>
      <c r="P105" s="52" t="s">
        <v>69</v>
      </c>
      <c r="Q105" s="51" t="s">
        <v>186</v>
      </c>
    </row>
    <row r="106" spans="1:17" ht="39.6" x14ac:dyDescent="0.25">
      <c r="A106" s="42" t="s">
        <v>124</v>
      </c>
      <c r="B106" s="43">
        <v>48</v>
      </c>
      <c r="C106" s="44" t="s">
        <v>193</v>
      </c>
      <c r="D106" s="89" t="s">
        <v>133</v>
      </c>
      <c r="E106" s="46" t="s">
        <v>66</v>
      </c>
      <c r="F106" s="43" t="s">
        <v>4</v>
      </c>
      <c r="G106" s="50">
        <v>45820</v>
      </c>
      <c r="H106" s="48" t="s">
        <v>196</v>
      </c>
      <c r="I106" s="49" t="s">
        <v>68</v>
      </c>
      <c r="J106" s="43"/>
      <c r="K106" s="43"/>
      <c r="L106" s="48"/>
      <c r="M106" s="43"/>
      <c r="N106" s="43"/>
      <c r="O106" s="43"/>
      <c r="P106" s="52" t="s">
        <v>69</v>
      </c>
      <c r="Q106" s="51" t="s">
        <v>186</v>
      </c>
    </row>
    <row r="107" spans="1:17" ht="39.6" x14ac:dyDescent="0.25">
      <c r="A107" s="42" t="s">
        <v>124</v>
      </c>
      <c r="B107" s="43">
        <v>49</v>
      </c>
      <c r="C107" s="44" t="s">
        <v>197</v>
      </c>
      <c r="D107" s="89" t="s">
        <v>133</v>
      </c>
      <c r="E107" s="46" t="s">
        <v>66</v>
      </c>
      <c r="F107" s="43" t="s">
        <v>4</v>
      </c>
      <c r="G107" s="50">
        <v>45820</v>
      </c>
      <c r="H107" s="48" t="s">
        <v>198</v>
      </c>
      <c r="I107" s="49" t="s">
        <v>68</v>
      </c>
      <c r="J107" s="43"/>
      <c r="K107" s="43"/>
      <c r="L107" s="48"/>
      <c r="M107" s="43"/>
      <c r="N107" s="43"/>
      <c r="O107" s="43"/>
      <c r="P107" s="52" t="s">
        <v>69</v>
      </c>
      <c r="Q107" s="51" t="s">
        <v>186</v>
      </c>
    </row>
    <row r="108" spans="1:17" ht="39.6" x14ac:dyDescent="0.25">
      <c r="A108" s="42" t="s">
        <v>124</v>
      </c>
      <c r="B108" s="43">
        <v>50</v>
      </c>
      <c r="C108" s="44" t="s">
        <v>197</v>
      </c>
      <c r="D108" s="89" t="s">
        <v>133</v>
      </c>
      <c r="E108" s="46" t="s">
        <v>66</v>
      </c>
      <c r="F108" s="43" t="s">
        <v>4</v>
      </c>
      <c r="G108" s="50">
        <v>45820</v>
      </c>
      <c r="H108" s="48" t="s">
        <v>199</v>
      </c>
      <c r="I108" s="49" t="s">
        <v>68</v>
      </c>
      <c r="J108" s="43"/>
      <c r="K108" s="43"/>
      <c r="L108" s="48"/>
      <c r="M108" s="43"/>
      <c r="N108" s="43"/>
      <c r="O108" s="43"/>
      <c r="P108" s="52" t="s">
        <v>69</v>
      </c>
      <c r="Q108" s="51" t="s">
        <v>186</v>
      </c>
    </row>
    <row r="109" spans="1:17" ht="39.6" x14ac:dyDescent="0.25">
      <c r="A109" s="42" t="s">
        <v>124</v>
      </c>
      <c r="B109" s="43">
        <v>51</v>
      </c>
      <c r="C109" s="44" t="s">
        <v>197</v>
      </c>
      <c r="D109" s="89" t="s">
        <v>133</v>
      </c>
      <c r="E109" s="46" t="s">
        <v>66</v>
      </c>
      <c r="F109" s="43" t="s">
        <v>4</v>
      </c>
      <c r="G109" s="50">
        <v>45820</v>
      </c>
      <c r="H109" s="48" t="s">
        <v>200</v>
      </c>
      <c r="I109" s="49" t="s">
        <v>68</v>
      </c>
      <c r="J109" s="43"/>
      <c r="K109" s="43"/>
      <c r="L109" s="48"/>
      <c r="M109" s="43"/>
      <c r="N109" s="43"/>
      <c r="O109" s="43"/>
      <c r="P109" s="52" t="s">
        <v>69</v>
      </c>
      <c r="Q109" s="51" t="s">
        <v>186</v>
      </c>
    </row>
    <row r="110" spans="1:17" ht="26.4" x14ac:dyDescent="0.25">
      <c r="A110" s="42" t="s">
        <v>124</v>
      </c>
      <c r="B110" s="43">
        <v>52</v>
      </c>
      <c r="C110" s="44" t="s">
        <v>201</v>
      </c>
      <c r="D110" s="89" t="s">
        <v>202</v>
      </c>
      <c r="E110" s="44" t="s">
        <v>203</v>
      </c>
      <c r="F110" s="43" t="s">
        <v>4</v>
      </c>
      <c r="G110" s="50">
        <v>45820</v>
      </c>
      <c r="H110" s="48" t="s">
        <v>204</v>
      </c>
      <c r="I110" s="49" t="s">
        <v>68</v>
      </c>
      <c r="J110" s="43"/>
      <c r="K110" s="43"/>
      <c r="L110" s="48"/>
      <c r="M110" s="43"/>
      <c r="N110" s="43"/>
      <c r="O110" s="43"/>
      <c r="P110" s="52" t="s">
        <v>69</v>
      </c>
      <c r="Q110" s="51" t="s">
        <v>186</v>
      </c>
    </row>
    <row r="111" spans="1:17" ht="26.4" x14ac:dyDescent="0.25">
      <c r="A111" s="42" t="s">
        <v>124</v>
      </c>
      <c r="B111" s="43">
        <v>53</v>
      </c>
      <c r="C111" s="44" t="s">
        <v>201</v>
      </c>
      <c r="D111" s="89" t="s">
        <v>202</v>
      </c>
      <c r="E111" s="44" t="s">
        <v>203</v>
      </c>
      <c r="F111" s="43" t="s">
        <v>4</v>
      </c>
      <c r="G111" s="50">
        <v>45820</v>
      </c>
      <c r="H111" s="48" t="s">
        <v>205</v>
      </c>
      <c r="I111" s="49" t="s">
        <v>68</v>
      </c>
      <c r="J111" s="43"/>
      <c r="K111" s="43"/>
      <c r="L111" s="48"/>
      <c r="M111" s="43"/>
      <c r="N111" s="43"/>
      <c r="O111" s="43"/>
      <c r="P111" s="52" t="s">
        <v>69</v>
      </c>
      <c r="Q111" s="51" t="s">
        <v>186</v>
      </c>
    </row>
    <row r="112" spans="1:17" ht="26.4" x14ac:dyDescent="0.25">
      <c r="A112" s="42" t="s">
        <v>124</v>
      </c>
      <c r="B112" s="43">
        <v>54</v>
      </c>
      <c r="C112" s="44" t="s">
        <v>201</v>
      </c>
      <c r="D112" s="89" t="s">
        <v>202</v>
      </c>
      <c r="E112" s="44" t="s">
        <v>203</v>
      </c>
      <c r="F112" s="43" t="s">
        <v>4</v>
      </c>
      <c r="G112" s="50">
        <v>45820</v>
      </c>
      <c r="H112" s="48" t="s">
        <v>206</v>
      </c>
      <c r="I112" s="49" t="s">
        <v>68</v>
      </c>
      <c r="J112" s="43"/>
      <c r="K112" s="43"/>
      <c r="L112" s="48"/>
      <c r="M112" s="43"/>
      <c r="N112" s="43"/>
      <c r="O112" s="43"/>
      <c r="P112" s="52" t="s">
        <v>69</v>
      </c>
      <c r="Q112" s="51" t="s">
        <v>186</v>
      </c>
    </row>
    <row r="113" spans="1:17" ht="26.4" x14ac:dyDescent="0.25">
      <c r="A113" s="42" t="s">
        <v>124</v>
      </c>
      <c r="B113" s="43">
        <v>55</v>
      </c>
      <c r="C113" s="44" t="s">
        <v>207</v>
      </c>
      <c r="D113" s="89" t="s">
        <v>202</v>
      </c>
      <c r="E113" s="44" t="s">
        <v>203</v>
      </c>
      <c r="F113" s="43" t="s">
        <v>4</v>
      </c>
      <c r="G113" s="50">
        <v>45820</v>
      </c>
      <c r="H113" s="48" t="s">
        <v>208</v>
      </c>
      <c r="I113" s="49" t="s">
        <v>68</v>
      </c>
      <c r="J113" s="43"/>
      <c r="K113" s="43"/>
      <c r="L113" s="48"/>
      <c r="M113" s="43"/>
      <c r="N113" s="43"/>
      <c r="O113" s="43"/>
      <c r="P113" s="52" t="s">
        <v>69</v>
      </c>
      <c r="Q113" s="51" t="s">
        <v>186</v>
      </c>
    </row>
    <row r="114" spans="1:17" ht="26.4" x14ac:dyDescent="0.25">
      <c r="A114" s="42" t="s">
        <v>124</v>
      </c>
      <c r="B114" s="43">
        <v>56</v>
      </c>
      <c r="C114" s="44" t="s">
        <v>207</v>
      </c>
      <c r="D114" s="89" t="s">
        <v>202</v>
      </c>
      <c r="E114" s="44" t="s">
        <v>203</v>
      </c>
      <c r="F114" s="43" t="s">
        <v>4</v>
      </c>
      <c r="G114" s="50">
        <v>45820</v>
      </c>
      <c r="H114" s="48" t="s">
        <v>209</v>
      </c>
      <c r="I114" s="49" t="s">
        <v>68</v>
      </c>
      <c r="J114" s="43"/>
      <c r="K114" s="43"/>
      <c r="L114" s="48"/>
      <c r="M114" s="43"/>
      <c r="N114" s="43"/>
      <c r="O114" s="43"/>
      <c r="P114" s="52" t="s">
        <v>69</v>
      </c>
      <c r="Q114" s="51" t="s">
        <v>186</v>
      </c>
    </row>
    <row r="115" spans="1:17" ht="26.4" x14ac:dyDescent="0.25">
      <c r="A115" s="42" t="s">
        <v>124</v>
      </c>
      <c r="B115" s="43">
        <v>57</v>
      </c>
      <c r="C115" s="44" t="s">
        <v>207</v>
      </c>
      <c r="D115" s="89" t="s">
        <v>202</v>
      </c>
      <c r="E115" s="44" t="s">
        <v>203</v>
      </c>
      <c r="F115" s="43" t="s">
        <v>4</v>
      </c>
      <c r="G115" s="50">
        <v>45820</v>
      </c>
      <c r="H115" s="48" t="s">
        <v>210</v>
      </c>
      <c r="I115" s="49" t="s">
        <v>68</v>
      </c>
      <c r="J115" s="43"/>
      <c r="K115" s="43"/>
      <c r="L115" s="48"/>
      <c r="M115" s="43"/>
      <c r="N115" s="43"/>
      <c r="O115" s="43"/>
      <c r="P115" s="52" t="s">
        <v>69</v>
      </c>
      <c r="Q115" s="51" t="s">
        <v>186</v>
      </c>
    </row>
    <row r="116" spans="1:17" ht="26.4" x14ac:dyDescent="0.25">
      <c r="A116" s="42" t="s">
        <v>124</v>
      </c>
      <c r="B116" s="43">
        <v>58</v>
      </c>
      <c r="C116" s="44" t="s">
        <v>211</v>
      </c>
      <c r="D116" s="89" t="s">
        <v>202</v>
      </c>
      <c r="E116" s="46" t="s">
        <v>66</v>
      </c>
      <c r="F116" s="43" t="s">
        <v>4</v>
      </c>
      <c r="G116" s="50">
        <v>45820</v>
      </c>
      <c r="H116" s="48" t="s">
        <v>212</v>
      </c>
      <c r="I116" s="49" t="s">
        <v>68</v>
      </c>
      <c r="J116" s="43"/>
      <c r="K116" s="43"/>
      <c r="L116" s="48"/>
      <c r="M116" s="43"/>
      <c r="N116" s="43"/>
      <c r="O116" s="43"/>
      <c r="P116" s="52" t="s">
        <v>69</v>
      </c>
      <c r="Q116" s="51" t="s">
        <v>186</v>
      </c>
    </row>
    <row r="117" spans="1:17" ht="26.4" x14ac:dyDescent="0.25">
      <c r="A117" s="42" t="s">
        <v>124</v>
      </c>
      <c r="B117" s="43">
        <v>59</v>
      </c>
      <c r="C117" s="44" t="s">
        <v>211</v>
      </c>
      <c r="D117" s="89" t="s">
        <v>202</v>
      </c>
      <c r="E117" s="46" t="s">
        <v>66</v>
      </c>
      <c r="F117" s="43" t="s">
        <v>4</v>
      </c>
      <c r="G117" s="50">
        <v>45820</v>
      </c>
      <c r="H117" s="48" t="s">
        <v>213</v>
      </c>
      <c r="I117" s="49" t="s">
        <v>68</v>
      </c>
      <c r="J117" s="43"/>
      <c r="K117" s="43"/>
      <c r="L117" s="48"/>
      <c r="M117" s="43"/>
      <c r="N117" s="43"/>
      <c r="O117" s="43"/>
      <c r="P117" s="52" t="s">
        <v>69</v>
      </c>
      <c r="Q117" s="51" t="s">
        <v>186</v>
      </c>
    </row>
    <row r="118" spans="1:17" ht="26.4" x14ac:dyDescent="0.25">
      <c r="A118" s="42" t="s">
        <v>124</v>
      </c>
      <c r="B118" s="43">
        <v>60</v>
      </c>
      <c r="C118" s="44" t="s">
        <v>211</v>
      </c>
      <c r="D118" s="89" t="s">
        <v>202</v>
      </c>
      <c r="E118" s="46" t="s">
        <v>66</v>
      </c>
      <c r="F118" s="43" t="s">
        <v>4</v>
      </c>
      <c r="G118" s="50">
        <v>45820</v>
      </c>
      <c r="H118" s="48" t="s">
        <v>214</v>
      </c>
      <c r="I118" s="49" t="s">
        <v>68</v>
      </c>
      <c r="J118" s="43"/>
      <c r="K118" s="43"/>
      <c r="L118" s="48"/>
      <c r="M118" s="43"/>
      <c r="N118" s="43"/>
      <c r="O118" s="43"/>
      <c r="P118" s="52" t="s">
        <v>69</v>
      </c>
      <c r="Q118" s="51" t="s">
        <v>186</v>
      </c>
    </row>
    <row r="119" spans="1:17" ht="26.4" x14ac:dyDescent="0.25">
      <c r="A119" s="42" t="s">
        <v>124</v>
      </c>
      <c r="B119" s="43">
        <v>61</v>
      </c>
      <c r="C119" s="44" t="s">
        <v>215</v>
      </c>
      <c r="D119" s="89" t="s">
        <v>202</v>
      </c>
      <c r="E119" s="46" t="s">
        <v>66</v>
      </c>
      <c r="F119" s="43" t="s">
        <v>4</v>
      </c>
      <c r="G119" s="50">
        <v>45820</v>
      </c>
      <c r="H119" s="48" t="s">
        <v>216</v>
      </c>
      <c r="I119" s="49" t="s">
        <v>68</v>
      </c>
      <c r="J119" s="43"/>
      <c r="K119" s="43"/>
      <c r="L119" s="48"/>
      <c r="M119" s="43"/>
      <c r="N119" s="43"/>
      <c r="O119" s="43"/>
      <c r="P119" s="52" t="s">
        <v>69</v>
      </c>
      <c r="Q119" s="51" t="s">
        <v>186</v>
      </c>
    </row>
    <row r="120" spans="1:17" ht="26.4" x14ac:dyDescent="0.25">
      <c r="A120" s="42" t="s">
        <v>124</v>
      </c>
      <c r="B120" s="43">
        <v>62</v>
      </c>
      <c r="C120" s="44" t="s">
        <v>215</v>
      </c>
      <c r="D120" s="89" t="s">
        <v>202</v>
      </c>
      <c r="E120" s="46" t="s">
        <v>66</v>
      </c>
      <c r="F120" s="43" t="s">
        <v>4</v>
      </c>
      <c r="G120" s="50">
        <v>45820</v>
      </c>
      <c r="H120" s="48" t="s">
        <v>217</v>
      </c>
      <c r="I120" s="49" t="s">
        <v>68</v>
      </c>
      <c r="J120" s="43"/>
      <c r="K120" s="43"/>
      <c r="L120" s="48"/>
      <c r="M120" s="43"/>
      <c r="N120" s="43"/>
      <c r="O120" s="43"/>
      <c r="P120" s="52" t="s">
        <v>69</v>
      </c>
      <c r="Q120" s="51" t="s">
        <v>186</v>
      </c>
    </row>
    <row r="121" spans="1:17" ht="26.4" x14ac:dyDescent="0.25">
      <c r="A121" s="42" t="s">
        <v>124</v>
      </c>
      <c r="B121" s="43">
        <v>63</v>
      </c>
      <c r="C121" s="44" t="s">
        <v>215</v>
      </c>
      <c r="D121" s="89" t="s">
        <v>202</v>
      </c>
      <c r="E121" s="46" t="s">
        <v>66</v>
      </c>
      <c r="F121" s="43" t="s">
        <v>4</v>
      </c>
      <c r="G121" s="50">
        <v>45820</v>
      </c>
      <c r="H121" s="48" t="s">
        <v>218</v>
      </c>
      <c r="I121" s="49" t="s">
        <v>68</v>
      </c>
      <c r="J121" s="43"/>
      <c r="K121" s="43"/>
      <c r="L121" s="48"/>
      <c r="M121" s="43"/>
      <c r="N121" s="43"/>
      <c r="O121" s="43"/>
      <c r="P121" s="52" t="s">
        <v>69</v>
      </c>
      <c r="Q121" s="51" t="s">
        <v>186</v>
      </c>
    </row>
    <row r="122" spans="1:17" ht="39.6" x14ac:dyDescent="0.25">
      <c r="A122" s="42" t="s">
        <v>124</v>
      </c>
      <c r="B122" s="43">
        <v>64</v>
      </c>
      <c r="C122" s="44" t="s">
        <v>219</v>
      </c>
      <c r="D122" s="89" t="s">
        <v>133</v>
      </c>
      <c r="E122" s="46" t="s">
        <v>66</v>
      </c>
      <c r="F122" s="43" t="s">
        <v>4</v>
      </c>
      <c r="G122" s="50">
        <v>45820</v>
      </c>
      <c r="H122" s="48" t="s">
        <v>220</v>
      </c>
      <c r="I122" s="49" t="s">
        <v>68</v>
      </c>
      <c r="J122" s="43"/>
      <c r="K122" s="43"/>
      <c r="L122" s="48"/>
      <c r="M122" s="43"/>
      <c r="N122" s="43"/>
      <c r="O122" s="43"/>
      <c r="P122" s="52" t="s">
        <v>69</v>
      </c>
      <c r="Q122" s="51" t="s">
        <v>186</v>
      </c>
    </row>
    <row r="123" spans="1:17" ht="39.6" x14ac:dyDescent="0.25">
      <c r="A123" s="42" t="s">
        <v>124</v>
      </c>
      <c r="B123" s="43">
        <v>65</v>
      </c>
      <c r="C123" s="44" t="s">
        <v>219</v>
      </c>
      <c r="D123" s="89" t="s">
        <v>133</v>
      </c>
      <c r="E123" s="46" t="s">
        <v>66</v>
      </c>
      <c r="F123" s="43" t="s">
        <v>4</v>
      </c>
      <c r="G123" s="50">
        <v>45820</v>
      </c>
      <c r="H123" s="48" t="s">
        <v>221</v>
      </c>
      <c r="I123" s="49" t="s">
        <v>68</v>
      </c>
      <c r="J123" s="43"/>
      <c r="K123" s="43"/>
      <c r="L123" s="48"/>
      <c r="M123" s="43"/>
      <c r="N123" s="43"/>
      <c r="O123" s="43"/>
      <c r="P123" s="52" t="s">
        <v>69</v>
      </c>
      <c r="Q123" s="51" t="s">
        <v>186</v>
      </c>
    </row>
    <row r="124" spans="1:17" ht="39.6" x14ac:dyDescent="0.25">
      <c r="A124" s="42" t="s">
        <v>124</v>
      </c>
      <c r="B124" s="43">
        <v>66</v>
      </c>
      <c r="C124" s="44" t="s">
        <v>219</v>
      </c>
      <c r="D124" s="89" t="s">
        <v>133</v>
      </c>
      <c r="E124" s="46" t="s">
        <v>66</v>
      </c>
      <c r="F124" s="43" t="s">
        <v>4</v>
      </c>
      <c r="G124" s="50">
        <v>45820</v>
      </c>
      <c r="H124" s="48" t="s">
        <v>222</v>
      </c>
      <c r="I124" s="49" t="s">
        <v>68</v>
      </c>
      <c r="J124" s="43"/>
      <c r="K124" s="43"/>
      <c r="L124" s="48"/>
      <c r="M124" s="43"/>
      <c r="N124" s="43"/>
      <c r="O124" s="43"/>
      <c r="P124" s="52" t="s">
        <v>69</v>
      </c>
      <c r="Q124" s="51" t="s">
        <v>186</v>
      </c>
    </row>
    <row r="125" spans="1:17" ht="39.6" x14ac:dyDescent="0.25">
      <c r="A125" s="42" t="s">
        <v>124</v>
      </c>
      <c r="B125" s="43">
        <v>67</v>
      </c>
      <c r="C125" s="44" t="s">
        <v>223</v>
      </c>
      <c r="D125" s="89" t="s">
        <v>133</v>
      </c>
      <c r="E125" s="46" t="s">
        <v>66</v>
      </c>
      <c r="F125" s="43" t="s">
        <v>4</v>
      </c>
      <c r="G125" s="50">
        <v>45820</v>
      </c>
      <c r="H125" s="48" t="s">
        <v>224</v>
      </c>
      <c r="I125" s="49" t="s">
        <v>68</v>
      </c>
      <c r="J125" s="43"/>
      <c r="K125" s="43"/>
      <c r="L125" s="48"/>
      <c r="M125" s="43"/>
      <c r="N125" s="43"/>
      <c r="O125" s="43"/>
      <c r="P125" s="52" t="s">
        <v>69</v>
      </c>
      <c r="Q125" s="51" t="s">
        <v>186</v>
      </c>
    </row>
    <row r="126" spans="1:17" ht="39.6" x14ac:dyDescent="0.25">
      <c r="A126" s="42" t="s">
        <v>124</v>
      </c>
      <c r="B126" s="43">
        <v>68</v>
      </c>
      <c r="C126" s="44" t="s">
        <v>223</v>
      </c>
      <c r="D126" s="89" t="s">
        <v>133</v>
      </c>
      <c r="E126" s="46" t="s">
        <v>66</v>
      </c>
      <c r="F126" s="43" t="s">
        <v>4</v>
      </c>
      <c r="G126" s="50">
        <v>45820</v>
      </c>
      <c r="H126" s="48" t="s">
        <v>225</v>
      </c>
      <c r="I126" s="49" t="s">
        <v>68</v>
      </c>
      <c r="J126" s="43"/>
      <c r="K126" s="43"/>
      <c r="L126" s="48"/>
      <c r="M126" s="43"/>
      <c r="N126" s="43"/>
      <c r="O126" s="43"/>
      <c r="P126" s="52" t="s">
        <v>69</v>
      </c>
      <c r="Q126" s="51" t="s">
        <v>186</v>
      </c>
    </row>
    <row r="127" spans="1:17" ht="39.6" x14ac:dyDescent="0.25">
      <c r="A127" s="42" t="s">
        <v>124</v>
      </c>
      <c r="B127" s="43">
        <v>69</v>
      </c>
      <c r="C127" s="44" t="s">
        <v>223</v>
      </c>
      <c r="D127" s="89" t="s">
        <v>133</v>
      </c>
      <c r="E127" s="46" t="s">
        <v>66</v>
      </c>
      <c r="F127" s="43" t="s">
        <v>4</v>
      </c>
      <c r="G127" s="50">
        <v>45820</v>
      </c>
      <c r="H127" s="48" t="s">
        <v>226</v>
      </c>
      <c r="I127" s="49" t="s">
        <v>68</v>
      </c>
      <c r="J127" s="43"/>
      <c r="K127" s="43"/>
      <c r="L127" s="48"/>
      <c r="M127" s="43"/>
      <c r="N127" s="43"/>
      <c r="O127" s="43"/>
      <c r="P127" s="52" t="s">
        <v>69</v>
      </c>
      <c r="Q127" s="51" t="s">
        <v>186</v>
      </c>
    </row>
    <row r="128" spans="1:17" ht="39.6" x14ac:dyDescent="0.25">
      <c r="A128" s="42" t="s">
        <v>124</v>
      </c>
      <c r="B128" s="43">
        <v>70</v>
      </c>
      <c r="C128" s="44" t="s">
        <v>227</v>
      </c>
      <c r="D128" s="89" t="s">
        <v>133</v>
      </c>
      <c r="E128" s="44"/>
      <c r="F128" s="43" t="s">
        <v>8</v>
      </c>
      <c r="G128" s="102"/>
      <c r="H128" s="48"/>
      <c r="I128" s="43"/>
      <c r="J128" s="43"/>
      <c r="K128" s="43"/>
      <c r="L128" s="48"/>
      <c r="M128" s="43"/>
      <c r="N128" s="43"/>
      <c r="O128" s="43"/>
      <c r="P128" s="52"/>
      <c r="Q128" s="66"/>
    </row>
    <row r="129" spans="1:17" ht="39.6" x14ac:dyDescent="0.25">
      <c r="A129" s="42" t="s">
        <v>124</v>
      </c>
      <c r="B129" s="43">
        <v>71</v>
      </c>
      <c r="C129" s="44" t="s">
        <v>227</v>
      </c>
      <c r="D129" s="89" t="s">
        <v>133</v>
      </c>
      <c r="E129" s="44"/>
      <c r="F129" s="43" t="s">
        <v>8</v>
      </c>
      <c r="G129" s="102"/>
      <c r="H129" s="48"/>
      <c r="I129" s="43"/>
      <c r="J129" s="43"/>
      <c r="K129" s="43"/>
      <c r="L129" s="48"/>
      <c r="M129" s="43"/>
      <c r="N129" s="43"/>
      <c r="O129" s="43"/>
      <c r="P129" s="52"/>
      <c r="Q129" s="66"/>
    </row>
    <row r="130" spans="1:17" ht="39.6" x14ac:dyDescent="0.25">
      <c r="A130" s="42" t="s">
        <v>124</v>
      </c>
      <c r="B130" s="43">
        <v>72</v>
      </c>
      <c r="C130" s="44" t="s">
        <v>227</v>
      </c>
      <c r="D130" s="89" t="s">
        <v>133</v>
      </c>
      <c r="E130" s="44"/>
      <c r="F130" s="43" t="s">
        <v>8</v>
      </c>
      <c r="G130" s="102"/>
      <c r="H130" s="48"/>
      <c r="I130" s="43"/>
      <c r="J130" s="43"/>
      <c r="K130" s="43"/>
      <c r="L130" s="48"/>
      <c r="M130" s="43"/>
      <c r="N130" s="43"/>
      <c r="O130" s="43"/>
      <c r="P130" s="52"/>
      <c r="Q130" s="66"/>
    </row>
    <row r="131" spans="1:17" ht="39.6" x14ac:dyDescent="0.25">
      <c r="A131" s="42" t="s">
        <v>124</v>
      </c>
      <c r="B131" s="43">
        <v>73</v>
      </c>
      <c r="C131" s="44" t="s">
        <v>228</v>
      </c>
      <c r="D131" s="89" t="s">
        <v>133</v>
      </c>
      <c r="E131" s="44"/>
      <c r="F131" s="43" t="s">
        <v>8</v>
      </c>
      <c r="G131" s="102"/>
      <c r="H131" s="48"/>
      <c r="I131" s="43"/>
      <c r="J131" s="43"/>
      <c r="K131" s="43"/>
      <c r="L131" s="48"/>
      <c r="M131" s="43"/>
      <c r="N131" s="43"/>
      <c r="O131" s="43"/>
      <c r="P131" s="52"/>
      <c r="Q131" s="66"/>
    </row>
    <row r="132" spans="1:17" ht="39.6" x14ac:dyDescent="0.25">
      <c r="A132" s="42" t="s">
        <v>124</v>
      </c>
      <c r="B132" s="43">
        <v>74</v>
      </c>
      <c r="C132" s="44" t="s">
        <v>228</v>
      </c>
      <c r="D132" s="89" t="s">
        <v>133</v>
      </c>
      <c r="E132" s="44"/>
      <c r="F132" s="43" t="s">
        <v>8</v>
      </c>
      <c r="G132" s="102"/>
      <c r="H132" s="48"/>
      <c r="I132" s="43"/>
      <c r="J132" s="43"/>
      <c r="K132" s="43"/>
      <c r="L132" s="48"/>
      <c r="M132" s="43"/>
      <c r="N132" s="43"/>
      <c r="O132" s="43"/>
      <c r="P132" s="52"/>
      <c r="Q132" s="66"/>
    </row>
    <row r="133" spans="1:17" ht="39.6" x14ac:dyDescent="0.25">
      <c r="A133" s="42" t="s">
        <v>124</v>
      </c>
      <c r="B133" s="43">
        <v>75</v>
      </c>
      <c r="C133" s="44" t="s">
        <v>228</v>
      </c>
      <c r="D133" s="89" t="s">
        <v>133</v>
      </c>
      <c r="E133" s="44"/>
      <c r="F133" s="43" t="s">
        <v>8</v>
      </c>
      <c r="G133" s="102"/>
      <c r="H133" s="48"/>
      <c r="I133" s="43"/>
      <c r="J133" s="43"/>
      <c r="K133" s="43"/>
      <c r="L133" s="48"/>
      <c r="M133" s="43"/>
      <c r="N133" s="43"/>
      <c r="O133" s="43"/>
      <c r="P133" s="52"/>
      <c r="Q133" s="66"/>
    </row>
    <row r="134" spans="1:17" ht="39.6" x14ac:dyDescent="0.25">
      <c r="A134" s="42" t="s">
        <v>124</v>
      </c>
      <c r="B134" s="43">
        <v>76</v>
      </c>
      <c r="C134" s="44" t="s">
        <v>229</v>
      </c>
      <c r="D134" s="89" t="s">
        <v>133</v>
      </c>
      <c r="E134" s="44"/>
      <c r="F134" s="43" t="s">
        <v>8</v>
      </c>
      <c r="G134" s="102"/>
      <c r="H134" s="48"/>
      <c r="I134" s="43"/>
      <c r="J134" s="43"/>
      <c r="K134" s="43"/>
      <c r="L134" s="48"/>
      <c r="M134" s="43"/>
      <c r="N134" s="43"/>
      <c r="O134" s="43"/>
      <c r="P134" s="52"/>
      <c r="Q134" s="66"/>
    </row>
    <row r="135" spans="1:17" ht="39.6" x14ac:dyDescent="0.25">
      <c r="A135" s="42" t="s">
        <v>124</v>
      </c>
      <c r="B135" s="43">
        <v>77</v>
      </c>
      <c r="C135" s="44" t="s">
        <v>229</v>
      </c>
      <c r="D135" s="89" t="s">
        <v>133</v>
      </c>
      <c r="E135" s="44"/>
      <c r="F135" s="43" t="s">
        <v>8</v>
      </c>
      <c r="G135" s="102"/>
      <c r="H135" s="48"/>
      <c r="I135" s="43"/>
      <c r="J135" s="43"/>
      <c r="K135" s="43"/>
      <c r="L135" s="48"/>
      <c r="M135" s="43"/>
      <c r="N135" s="43"/>
      <c r="O135" s="43"/>
      <c r="P135" s="52"/>
      <c r="Q135" s="66"/>
    </row>
    <row r="136" spans="1:17" ht="39.6" x14ac:dyDescent="0.25">
      <c r="A136" s="42" t="s">
        <v>124</v>
      </c>
      <c r="B136" s="43">
        <v>78</v>
      </c>
      <c r="C136" s="44" t="s">
        <v>229</v>
      </c>
      <c r="D136" s="89" t="s">
        <v>133</v>
      </c>
      <c r="E136" s="44"/>
      <c r="F136" s="43" t="s">
        <v>8</v>
      </c>
      <c r="G136" s="102"/>
      <c r="H136" s="48"/>
      <c r="I136" s="43"/>
      <c r="J136" s="43"/>
      <c r="K136" s="43"/>
      <c r="L136" s="48"/>
      <c r="M136" s="43"/>
      <c r="N136" s="43"/>
      <c r="O136" s="43"/>
      <c r="P136" s="52"/>
      <c r="Q136" s="66"/>
    </row>
    <row r="137" spans="1:17" ht="79.2" x14ac:dyDescent="0.25">
      <c r="A137" s="42" t="s">
        <v>124</v>
      </c>
      <c r="B137" s="43">
        <v>79</v>
      </c>
      <c r="C137" s="44" t="s">
        <v>230</v>
      </c>
      <c r="D137" s="89" t="s">
        <v>231</v>
      </c>
      <c r="E137" s="46" t="s">
        <v>66</v>
      </c>
      <c r="F137" s="43" t="s">
        <v>4</v>
      </c>
      <c r="G137" s="50">
        <v>45820</v>
      </c>
      <c r="H137" s="48" t="s">
        <v>232</v>
      </c>
      <c r="I137" s="49" t="s">
        <v>68</v>
      </c>
      <c r="J137" s="43"/>
      <c r="K137" s="43"/>
      <c r="L137" s="48"/>
      <c r="M137" s="43"/>
      <c r="N137" s="43"/>
      <c r="O137" s="43"/>
      <c r="P137" s="52" t="s">
        <v>69</v>
      </c>
      <c r="Q137" s="51" t="s">
        <v>186</v>
      </c>
    </row>
    <row r="138" spans="1:17" ht="79.2" x14ac:dyDescent="0.25">
      <c r="A138" s="42" t="s">
        <v>124</v>
      </c>
      <c r="B138" s="43">
        <v>80</v>
      </c>
      <c r="C138" s="44" t="s">
        <v>230</v>
      </c>
      <c r="D138" s="89" t="s">
        <v>231</v>
      </c>
      <c r="E138" s="46" t="s">
        <v>66</v>
      </c>
      <c r="F138" s="43" t="s">
        <v>4</v>
      </c>
      <c r="G138" s="50">
        <v>45820</v>
      </c>
      <c r="H138" s="48" t="s">
        <v>233</v>
      </c>
      <c r="I138" s="49" t="s">
        <v>68</v>
      </c>
      <c r="J138" s="43"/>
      <c r="K138" s="43"/>
      <c r="L138" s="48"/>
      <c r="M138" s="43"/>
      <c r="N138" s="43"/>
      <c r="O138" s="43"/>
      <c r="P138" s="52" t="s">
        <v>69</v>
      </c>
      <c r="Q138" s="51" t="s">
        <v>186</v>
      </c>
    </row>
    <row r="139" spans="1:17" ht="79.2" x14ac:dyDescent="0.25">
      <c r="A139" s="42" t="s">
        <v>124</v>
      </c>
      <c r="B139" s="43">
        <v>81</v>
      </c>
      <c r="C139" s="44" t="s">
        <v>230</v>
      </c>
      <c r="D139" s="89" t="s">
        <v>231</v>
      </c>
      <c r="E139" s="46" t="s">
        <v>66</v>
      </c>
      <c r="F139" s="43" t="s">
        <v>4</v>
      </c>
      <c r="G139" s="50">
        <v>45820</v>
      </c>
      <c r="H139" s="48" t="s">
        <v>220</v>
      </c>
      <c r="I139" s="49" t="s">
        <v>68</v>
      </c>
      <c r="J139" s="43"/>
      <c r="K139" s="43"/>
      <c r="L139" s="48"/>
      <c r="M139" s="43"/>
      <c r="N139" s="43"/>
      <c r="O139" s="43"/>
      <c r="P139" s="52" t="s">
        <v>69</v>
      </c>
      <c r="Q139" s="51" t="s">
        <v>186</v>
      </c>
    </row>
    <row r="140" spans="1:17" ht="105.6" x14ac:dyDescent="0.25">
      <c r="A140" s="42" t="s">
        <v>124</v>
      </c>
      <c r="B140" s="43">
        <v>82</v>
      </c>
      <c r="C140" s="44" t="s">
        <v>234</v>
      </c>
      <c r="D140" s="89" t="s">
        <v>235</v>
      </c>
      <c r="E140" s="46" t="s">
        <v>66</v>
      </c>
      <c r="F140" s="43" t="s">
        <v>4</v>
      </c>
      <c r="G140" s="50">
        <v>45818</v>
      </c>
      <c r="H140" s="48" t="s">
        <v>236</v>
      </c>
      <c r="I140" s="49" t="s">
        <v>68</v>
      </c>
      <c r="J140" s="43"/>
      <c r="K140" s="43"/>
      <c r="L140" s="48"/>
      <c r="M140" s="43"/>
      <c r="N140" s="43"/>
      <c r="O140" s="43"/>
      <c r="P140" s="52" t="s">
        <v>69</v>
      </c>
      <c r="Q140" s="51" t="s">
        <v>147</v>
      </c>
    </row>
    <row r="141" spans="1:17" ht="105.6" x14ac:dyDescent="0.25">
      <c r="A141" s="42" t="s">
        <v>124</v>
      </c>
      <c r="B141" s="43">
        <v>83</v>
      </c>
      <c r="C141" s="44" t="s">
        <v>234</v>
      </c>
      <c r="D141" s="89" t="s">
        <v>235</v>
      </c>
      <c r="E141" s="46" t="s">
        <v>66</v>
      </c>
      <c r="F141" s="43" t="s">
        <v>4</v>
      </c>
      <c r="G141" s="50">
        <v>45818</v>
      </c>
      <c r="H141" s="48" t="s">
        <v>237</v>
      </c>
      <c r="I141" s="49" t="s">
        <v>68</v>
      </c>
      <c r="J141" s="43"/>
      <c r="K141" s="43"/>
      <c r="L141" s="48"/>
      <c r="M141" s="43"/>
      <c r="N141" s="43"/>
      <c r="O141" s="43"/>
      <c r="P141" s="52" t="s">
        <v>69</v>
      </c>
      <c r="Q141" s="51" t="s">
        <v>147</v>
      </c>
    </row>
    <row r="142" spans="1:17" ht="105.6" x14ac:dyDescent="0.25">
      <c r="A142" s="42" t="s">
        <v>124</v>
      </c>
      <c r="B142" s="43">
        <v>84</v>
      </c>
      <c r="C142" s="44" t="s">
        <v>234</v>
      </c>
      <c r="D142" s="89" t="s">
        <v>235</v>
      </c>
      <c r="E142" s="46" t="s">
        <v>66</v>
      </c>
      <c r="F142" s="43" t="s">
        <v>4</v>
      </c>
      <c r="G142" s="50">
        <v>45818</v>
      </c>
      <c r="H142" s="48" t="s">
        <v>238</v>
      </c>
      <c r="I142" s="49" t="s">
        <v>68</v>
      </c>
      <c r="J142" s="43"/>
      <c r="K142" s="43"/>
      <c r="L142" s="48"/>
      <c r="M142" s="43"/>
      <c r="N142" s="43"/>
      <c r="O142" s="43"/>
      <c r="P142" s="52" t="s">
        <v>69</v>
      </c>
      <c r="Q142" s="51" t="s">
        <v>147</v>
      </c>
    </row>
    <row r="143" spans="1:17" ht="79.2" x14ac:dyDescent="0.25">
      <c r="A143" s="42" t="s">
        <v>124</v>
      </c>
      <c r="B143" s="43">
        <v>85</v>
      </c>
      <c r="C143" s="44" t="s">
        <v>239</v>
      </c>
      <c r="D143" s="89" t="s">
        <v>231</v>
      </c>
      <c r="E143" s="46" t="s">
        <v>66</v>
      </c>
      <c r="F143" s="43" t="s">
        <v>4</v>
      </c>
      <c r="G143" s="50">
        <v>45820</v>
      </c>
      <c r="H143" s="48" t="s">
        <v>232</v>
      </c>
      <c r="I143" s="49" t="s">
        <v>68</v>
      </c>
      <c r="J143" s="43"/>
      <c r="K143" s="43"/>
      <c r="L143" s="48"/>
      <c r="M143" s="43"/>
      <c r="N143" s="43"/>
      <c r="O143" s="43"/>
      <c r="P143" s="52" t="s">
        <v>69</v>
      </c>
      <c r="Q143" s="51" t="s">
        <v>186</v>
      </c>
    </row>
    <row r="144" spans="1:17" ht="79.2" x14ac:dyDescent="0.25">
      <c r="A144" s="42" t="s">
        <v>124</v>
      </c>
      <c r="B144" s="43">
        <v>86</v>
      </c>
      <c r="C144" s="44" t="s">
        <v>239</v>
      </c>
      <c r="D144" s="89" t="s">
        <v>231</v>
      </c>
      <c r="E144" s="46" t="s">
        <v>66</v>
      </c>
      <c r="F144" s="43" t="s">
        <v>4</v>
      </c>
      <c r="G144" s="50">
        <v>45820</v>
      </c>
      <c r="H144" s="48" t="s">
        <v>233</v>
      </c>
      <c r="I144" s="49" t="s">
        <v>68</v>
      </c>
      <c r="J144" s="43"/>
      <c r="K144" s="43"/>
      <c r="L144" s="48"/>
      <c r="M144" s="43"/>
      <c r="N144" s="43"/>
      <c r="O144" s="43"/>
      <c r="P144" s="52" t="s">
        <v>69</v>
      </c>
      <c r="Q144" s="51" t="s">
        <v>186</v>
      </c>
    </row>
    <row r="145" spans="1:17" ht="79.2" x14ac:dyDescent="0.25">
      <c r="A145" s="42" t="s">
        <v>124</v>
      </c>
      <c r="B145" s="43">
        <v>87</v>
      </c>
      <c r="C145" s="44" t="s">
        <v>239</v>
      </c>
      <c r="D145" s="89" t="s">
        <v>231</v>
      </c>
      <c r="E145" s="46" t="s">
        <v>66</v>
      </c>
      <c r="F145" s="43" t="s">
        <v>4</v>
      </c>
      <c r="G145" s="50">
        <v>45820</v>
      </c>
      <c r="H145" s="48" t="s">
        <v>220</v>
      </c>
      <c r="I145" s="49" t="s">
        <v>68</v>
      </c>
      <c r="J145" s="43"/>
      <c r="K145" s="43"/>
      <c r="L145" s="48"/>
      <c r="M145" s="43"/>
      <c r="N145" s="43"/>
      <c r="O145" s="43"/>
      <c r="P145" s="52" t="s">
        <v>69</v>
      </c>
      <c r="Q145" s="51" t="s">
        <v>186</v>
      </c>
    </row>
    <row r="146" spans="1:17" ht="105.6" x14ac:dyDescent="0.25">
      <c r="A146" s="42" t="s">
        <v>124</v>
      </c>
      <c r="B146" s="43">
        <v>88</v>
      </c>
      <c r="C146" s="44" t="s">
        <v>240</v>
      </c>
      <c r="D146" s="89" t="s">
        <v>235</v>
      </c>
      <c r="E146" s="46" t="s">
        <v>66</v>
      </c>
      <c r="F146" s="43" t="s">
        <v>4</v>
      </c>
      <c r="G146" s="50">
        <v>45818</v>
      </c>
      <c r="H146" s="48" t="s">
        <v>241</v>
      </c>
      <c r="I146" s="49" t="s">
        <v>68</v>
      </c>
      <c r="J146" s="43"/>
      <c r="K146" s="43"/>
      <c r="L146" s="48"/>
      <c r="M146" s="43"/>
      <c r="N146" s="43"/>
      <c r="O146" s="43"/>
      <c r="P146" s="52" t="s">
        <v>69</v>
      </c>
      <c r="Q146" s="51" t="s">
        <v>147</v>
      </c>
    </row>
    <row r="147" spans="1:17" ht="105.6" x14ac:dyDescent="0.25">
      <c r="A147" s="42" t="s">
        <v>124</v>
      </c>
      <c r="B147" s="43">
        <v>89</v>
      </c>
      <c r="C147" s="44" t="s">
        <v>240</v>
      </c>
      <c r="D147" s="89" t="s">
        <v>235</v>
      </c>
      <c r="E147" s="46" t="s">
        <v>66</v>
      </c>
      <c r="F147" s="43" t="s">
        <v>4</v>
      </c>
      <c r="G147" s="50">
        <v>45818</v>
      </c>
      <c r="H147" s="48" t="s">
        <v>242</v>
      </c>
      <c r="I147" s="49" t="s">
        <v>68</v>
      </c>
      <c r="J147" s="43"/>
      <c r="K147" s="43"/>
      <c r="L147" s="48"/>
      <c r="M147" s="43"/>
      <c r="N147" s="43"/>
      <c r="O147" s="43"/>
      <c r="P147" s="52" t="s">
        <v>69</v>
      </c>
      <c r="Q147" s="51" t="s">
        <v>147</v>
      </c>
    </row>
    <row r="148" spans="1:17" ht="105.6" x14ac:dyDescent="0.25">
      <c r="A148" s="42" t="s">
        <v>124</v>
      </c>
      <c r="B148" s="43">
        <v>90</v>
      </c>
      <c r="C148" s="44" t="s">
        <v>240</v>
      </c>
      <c r="D148" s="89" t="s">
        <v>235</v>
      </c>
      <c r="E148" s="46" t="s">
        <v>66</v>
      </c>
      <c r="F148" s="43" t="s">
        <v>4</v>
      </c>
      <c r="G148" s="50">
        <v>45818</v>
      </c>
      <c r="H148" s="48" t="s">
        <v>243</v>
      </c>
      <c r="I148" s="49" t="s">
        <v>68</v>
      </c>
      <c r="J148" s="43"/>
      <c r="K148" s="43"/>
      <c r="L148" s="48"/>
      <c r="M148" s="43"/>
      <c r="N148" s="43"/>
      <c r="O148" s="43"/>
      <c r="P148" s="52" t="s">
        <v>69</v>
      </c>
      <c r="Q148" s="51" t="s">
        <v>147</v>
      </c>
    </row>
    <row r="149" spans="1:17" ht="26.4" x14ac:dyDescent="0.25">
      <c r="A149" s="42" t="s">
        <v>24</v>
      </c>
      <c r="B149" s="55">
        <v>1</v>
      </c>
      <c r="C149" s="56" t="s">
        <v>244</v>
      </c>
      <c r="D149" s="86" t="s">
        <v>245</v>
      </c>
      <c r="E149" s="56"/>
      <c r="F149" s="43" t="s">
        <v>8</v>
      </c>
      <c r="G149" s="63"/>
      <c r="H149" s="64"/>
      <c r="I149" s="62"/>
      <c r="J149" s="43"/>
      <c r="K149" s="43"/>
      <c r="L149" s="48"/>
      <c r="M149" s="43"/>
      <c r="N149" s="43"/>
      <c r="O149" s="43"/>
      <c r="P149" s="52"/>
      <c r="Q149" s="33"/>
    </row>
    <row r="150" spans="1:17" ht="26.4" x14ac:dyDescent="0.25">
      <c r="A150" s="42" t="s">
        <v>24</v>
      </c>
      <c r="B150" s="55">
        <v>2</v>
      </c>
      <c r="C150" s="56" t="s">
        <v>244</v>
      </c>
      <c r="D150" s="86" t="s">
        <v>245</v>
      </c>
      <c r="E150" s="56"/>
      <c r="F150" s="43" t="s">
        <v>8</v>
      </c>
      <c r="G150" s="63"/>
      <c r="H150" s="64"/>
      <c r="I150" s="62"/>
      <c r="J150" s="43"/>
      <c r="K150" s="43"/>
      <c r="L150" s="48"/>
      <c r="M150" s="43"/>
      <c r="N150" s="43"/>
      <c r="O150" s="43"/>
      <c r="P150" s="52"/>
      <c r="Q150" s="33"/>
    </row>
    <row r="151" spans="1:17" ht="26.4" x14ac:dyDescent="0.25">
      <c r="A151" s="42" t="s">
        <v>24</v>
      </c>
      <c r="B151" s="55">
        <v>3</v>
      </c>
      <c r="C151" s="56" t="s">
        <v>244</v>
      </c>
      <c r="D151" s="86" t="s">
        <v>245</v>
      </c>
      <c r="E151" s="56"/>
      <c r="F151" s="43" t="s">
        <v>8</v>
      </c>
      <c r="G151" s="63"/>
      <c r="H151" s="64"/>
      <c r="I151" s="62"/>
      <c r="J151" s="43"/>
      <c r="K151" s="43"/>
      <c r="L151" s="48"/>
      <c r="M151" s="43"/>
      <c r="N151" s="43"/>
      <c r="O151" s="43"/>
      <c r="P151" s="52"/>
      <c r="Q151" s="33"/>
    </row>
    <row r="152" spans="1:17" ht="26.4" x14ac:dyDescent="0.25">
      <c r="A152" s="42" t="s">
        <v>24</v>
      </c>
      <c r="B152" s="55">
        <v>4</v>
      </c>
      <c r="C152" s="56" t="s">
        <v>246</v>
      </c>
      <c r="D152" s="86" t="s">
        <v>247</v>
      </c>
      <c r="E152" s="56"/>
      <c r="F152" s="43" t="s">
        <v>8</v>
      </c>
      <c r="G152" s="62"/>
      <c r="H152" s="64"/>
      <c r="I152" s="62"/>
      <c r="J152" s="43"/>
      <c r="K152" s="43"/>
      <c r="L152" s="48"/>
      <c r="M152" s="43"/>
      <c r="N152" s="43"/>
      <c r="O152" s="43"/>
      <c r="P152" s="52"/>
      <c r="Q152" s="33"/>
    </row>
    <row r="153" spans="1:17" ht="26.4" x14ac:dyDescent="0.25">
      <c r="A153" s="42" t="s">
        <v>24</v>
      </c>
      <c r="B153" s="55">
        <v>5</v>
      </c>
      <c r="C153" s="56" t="s">
        <v>246</v>
      </c>
      <c r="D153" s="86" t="s">
        <v>247</v>
      </c>
      <c r="E153" s="56"/>
      <c r="F153" s="43" t="s">
        <v>8</v>
      </c>
      <c r="G153" s="62"/>
      <c r="H153" s="64"/>
      <c r="I153" s="62"/>
      <c r="J153" s="43"/>
      <c r="K153" s="43"/>
      <c r="L153" s="48"/>
      <c r="M153" s="43"/>
      <c r="N153" s="43"/>
      <c r="O153" s="43"/>
      <c r="P153" s="52"/>
      <c r="Q153" s="33"/>
    </row>
    <row r="154" spans="1:17" ht="26.4" x14ac:dyDescent="0.25">
      <c r="A154" s="42" t="s">
        <v>24</v>
      </c>
      <c r="B154" s="55">
        <v>6</v>
      </c>
      <c r="C154" s="56" t="s">
        <v>246</v>
      </c>
      <c r="D154" s="86" t="s">
        <v>247</v>
      </c>
      <c r="E154" s="56"/>
      <c r="F154" s="43" t="s">
        <v>8</v>
      </c>
      <c r="G154" s="62"/>
      <c r="H154" s="64"/>
      <c r="I154" s="62"/>
      <c r="J154" s="43"/>
      <c r="K154" s="43"/>
      <c r="L154" s="48"/>
      <c r="M154" s="43"/>
      <c r="N154" s="43"/>
      <c r="O154" s="43"/>
      <c r="P154" s="52"/>
      <c r="Q154" s="33"/>
    </row>
    <row r="155" spans="1:17" ht="26.4" x14ac:dyDescent="0.25">
      <c r="A155" s="42" t="s">
        <v>24</v>
      </c>
      <c r="B155" s="55">
        <v>7</v>
      </c>
      <c r="C155" s="56" t="s">
        <v>248</v>
      </c>
      <c r="D155" s="86" t="s">
        <v>249</v>
      </c>
      <c r="E155" s="56"/>
      <c r="F155" s="43" t="s">
        <v>8</v>
      </c>
      <c r="G155" s="62"/>
      <c r="H155" s="64"/>
      <c r="I155" s="62"/>
      <c r="J155" s="43"/>
      <c r="K155" s="43"/>
      <c r="L155" s="48"/>
      <c r="M155" s="43"/>
      <c r="N155" s="43"/>
      <c r="O155" s="43"/>
      <c r="P155" s="52"/>
      <c r="Q155" s="33"/>
    </row>
    <row r="156" spans="1:17" ht="26.4" x14ac:dyDescent="0.25">
      <c r="A156" s="42" t="s">
        <v>24</v>
      </c>
      <c r="B156" s="55">
        <v>8</v>
      </c>
      <c r="C156" s="56" t="s">
        <v>248</v>
      </c>
      <c r="D156" s="86" t="s">
        <v>249</v>
      </c>
      <c r="E156" s="56"/>
      <c r="F156" s="43" t="s">
        <v>8</v>
      </c>
      <c r="G156" s="62"/>
      <c r="H156" s="64"/>
      <c r="I156" s="62"/>
      <c r="J156" s="43"/>
      <c r="K156" s="43"/>
      <c r="L156" s="48"/>
      <c r="M156" s="43"/>
      <c r="N156" s="43"/>
      <c r="O156" s="43"/>
      <c r="P156" s="52"/>
      <c r="Q156" s="33"/>
    </row>
    <row r="157" spans="1:17" ht="26.4" x14ac:dyDescent="0.25">
      <c r="A157" s="42" t="s">
        <v>24</v>
      </c>
      <c r="B157" s="55">
        <v>9</v>
      </c>
      <c r="C157" s="56" t="s">
        <v>248</v>
      </c>
      <c r="D157" s="86" t="s">
        <v>249</v>
      </c>
      <c r="E157" s="56"/>
      <c r="F157" s="43" t="s">
        <v>8</v>
      </c>
      <c r="G157" s="62"/>
      <c r="H157" s="64"/>
      <c r="I157" s="62"/>
      <c r="J157" s="43"/>
      <c r="K157" s="43"/>
      <c r="L157" s="48"/>
      <c r="M157" s="43"/>
      <c r="N157" s="43"/>
      <c r="O157" s="43"/>
      <c r="P157" s="52"/>
      <c r="Q157" s="33"/>
    </row>
    <row r="158" spans="1:17" ht="26.4" x14ac:dyDescent="0.25">
      <c r="A158" s="42" t="s">
        <v>24</v>
      </c>
      <c r="B158" s="55">
        <v>10</v>
      </c>
      <c r="C158" s="56" t="s">
        <v>250</v>
      </c>
      <c r="D158" s="86" t="s">
        <v>251</v>
      </c>
      <c r="E158" s="56"/>
      <c r="F158" s="43" t="s">
        <v>8</v>
      </c>
      <c r="G158" s="63"/>
      <c r="H158" s="64"/>
      <c r="I158" s="62"/>
      <c r="J158" s="43"/>
      <c r="K158" s="43"/>
      <c r="L158" s="48"/>
      <c r="M158" s="43"/>
      <c r="N158" s="43"/>
      <c r="O158" s="43"/>
      <c r="P158" s="52"/>
      <c r="Q158" s="33"/>
    </row>
    <row r="159" spans="1:17" ht="26.4" x14ac:dyDescent="0.25">
      <c r="A159" s="42" t="s">
        <v>24</v>
      </c>
      <c r="B159" s="55">
        <v>11</v>
      </c>
      <c r="C159" s="56" t="s">
        <v>250</v>
      </c>
      <c r="D159" s="86" t="s">
        <v>251</v>
      </c>
      <c r="E159" s="56"/>
      <c r="F159" s="43" t="s">
        <v>8</v>
      </c>
      <c r="G159" s="102"/>
      <c r="H159" s="48"/>
      <c r="I159" s="43"/>
      <c r="J159" s="43"/>
      <c r="K159" s="43"/>
      <c r="L159" s="48"/>
      <c r="M159" s="43"/>
      <c r="N159" s="43"/>
      <c r="O159" s="43"/>
      <c r="P159" s="52"/>
      <c r="Q159" s="67"/>
    </row>
    <row r="160" spans="1:17" ht="26.4" x14ac:dyDescent="0.25">
      <c r="A160" s="42" t="s">
        <v>24</v>
      </c>
      <c r="B160" s="55">
        <v>12</v>
      </c>
      <c r="C160" s="56" t="s">
        <v>250</v>
      </c>
      <c r="D160" s="86" t="s">
        <v>251</v>
      </c>
      <c r="E160" s="56"/>
      <c r="F160" s="43" t="s">
        <v>8</v>
      </c>
      <c r="G160" s="102"/>
      <c r="H160" s="48"/>
      <c r="I160" s="43"/>
      <c r="J160" s="43"/>
      <c r="K160" s="43"/>
      <c r="L160" s="48"/>
      <c r="M160" s="43"/>
      <c r="N160" s="43"/>
      <c r="O160" s="43"/>
      <c r="P160" s="52"/>
      <c r="Q160" s="67"/>
    </row>
    <row r="161" spans="1:17" ht="39.6" x14ac:dyDescent="0.25">
      <c r="A161" s="42" t="s">
        <v>24</v>
      </c>
      <c r="B161" s="55">
        <v>13</v>
      </c>
      <c r="C161" s="56" t="s">
        <v>252</v>
      </c>
      <c r="D161" s="86" t="s">
        <v>253</v>
      </c>
      <c r="E161" s="56"/>
      <c r="F161" s="43" t="s">
        <v>8</v>
      </c>
      <c r="G161" s="102"/>
      <c r="H161" s="48"/>
      <c r="I161" s="43"/>
      <c r="J161" s="43"/>
      <c r="K161" s="43"/>
      <c r="L161" s="48"/>
      <c r="M161" s="43"/>
      <c r="N161" s="43"/>
      <c r="O161" s="43"/>
      <c r="P161" s="52"/>
      <c r="Q161" s="67"/>
    </row>
    <row r="162" spans="1:17" ht="39.6" x14ac:dyDescent="0.25">
      <c r="A162" s="42" t="s">
        <v>24</v>
      </c>
      <c r="B162" s="55">
        <v>14</v>
      </c>
      <c r="C162" s="56" t="s">
        <v>252</v>
      </c>
      <c r="D162" s="86" t="s">
        <v>253</v>
      </c>
      <c r="E162" s="56"/>
      <c r="F162" s="43" t="s">
        <v>8</v>
      </c>
      <c r="G162" s="102"/>
      <c r="H162" s="48"/>
      <c r="I162" s="43"/>
      <c r="J162" s="43"/>
      <c r="K162" s="43"/>
      <c r="L162" s="48"/>
      <c r="M162" s="43"/>
      <c r="N162" s="43"/>
      <c r="O162" s="43"/>
      <c r="P162" s="52"/>
      <c r="Q162" s="67"/>
    </row>
    <row r="163" spans="1:17" ht="39.6" x14ac:dyDescent="0.25">
      <c r="A163" s="42" t="s">
        <v>24</v>
      </c>
      <c r="B163" s="55">
        <v>15</v>
      </c>
      <c r="C163" s="56" t="s">
        <v>252</v>
      </c>
      <c r="D163" s="86" t="s">
        <v>253</v>
      </c>
      <c r="E163" s="56"/>
      <c r="F163" s="43" t="s">
        <v>8</v>
      </c>
      <c r="G163" s="102"/>
      <c r="H163" s="48"/>
      <c r="I163" s="43"/>
      <c r="J163" s="43"/>
      <c r="K163" s="43"/>
      <c r="L163" s="48"/>
      <c r="M163" s="43"/>
      <c r="N163" s="43"/>
      <c r="O163" s="43"/>
      <c r="P163" s="52"/>
      <c r="Q163" s="67"/>
    </row>
    <row r="164" spans="1:17" ht="26.4" x14ac:dyDescent="0.25">
      <c r="A164" s="42" t="s">
        <v>26</v>
      </c>
      <c r="B164" s="43">
        <v>1</v>
      </c>
      <c r="C164" s="56" t="s">
        <v>254</v>
      </c>
      <c r="D164" s="86" t="s">
        <v>255</v>
      </c>
      <c r="E164" s="56"/>
      <c r="F164" s="43" t="s">
        <v>8</v>
      </c>
      <c r="G164" s="68"/>
      <c r="H164" s="48"/>
      <c r="I164" s="43"/>
      <c r="J164" s="43"/>
      <c r="K164" s="43"/>
      <c r="L164" s="48"/>
      <c r="M164" s="43"/>
      <c r="N164" s="43"/>
      <c r="O164" s="43"/>
      <c r="P164" s="52"/>
      <c r="Q164" s="66"/>
    </row>
    <row r="165" spans="1:17" ht="26.4" x14ac:dyDescent="0.25">
      <c r="A165" s="42" t="s">
        <v>26</v>
      </c>
      <c r="B165" s="43">
        <v>2</v>
      </c>
      <c r="C165" s="56" t="s">
        <v>254</v>
      </c>
      <c r="D165" s="86" t="s">
        <v>255</v>
      </c>
      <c r="E165" s="56"/>
      <c r="F165" s="43" t="s">
        <v>8</v>
      </c>
      <c r="G165" s="68"/>
      <c r="H165" s="48"/>
      <c r="I165" s="43"/>
      <c r="J165" s="43"/>
      <c r="K165" s="43"/>
      <c r="L165" s="48"/>
      <c r="M165" s="43"/>
      <c r="N165" s="43"/>
      <c r="O165" s="43"/>
      <c r="P165" s="52"/>
      <c r="Q165" s="66"/>
    </row>
    <row r="166" spans="1:17" ht="26.4" x14ac:dyDescent="0.25">
      <c r="A166" s="42" t="s">
        <v>26</v>
      </c>
      <c r="B166" s="43">
        <v>3</v>
      </c>
      <c r="C166" s="56" t="s">
        <v>254</v>
      </c>
      <c r="D166" s="86" t="s">
        <v>255</v>
      </c>
      <c r="E166" s="56"/>
      <c r="F166" s="43" t="s">
        <v>8</v>
      </c>
      <c r="G166" s="68"/>
      <c r="H166" s="48"/>
      <c r="I166" s="43"/>
      <c r="J166" s="43"/>
      <c r="K166" s="43"/>
      <c r="L166" s="48"/>
      <c r="M166" s="43"/>
      <c r="N166" s="43"/>
      <c r="O166" s="43"/>
      <c r="P166" s="52"/>
      <c r="Q166" s="66"/>
    </row>
    <row r="167" spans="1:17" ht="26.4" x14ac:dyDescent="0.25">
      <c r="A167" s="42" t="s">
        <v>26</v>
      </c>
      <c r="B167" s="43">
        <v>4</v>
      </c>
      <c r="C167" s="56" t="s">
        <v>256</v>
      </c>
      <c r="D167" s="86" t="s">
        <v>257</v>
      </c>
      <c r="E167" s="56"/>
      <c r="F167" s="43" t="s">
        <v>8</v>
      </c>
      <c r="G167" s="68"/>
      <c r="H167" s="48"/>
      <c r="I167" s="43"/>
      <c r="J167" s="43"/>
      <c r="K167" s="43"/>
      <c r="L167" s="48"/>
      <c r="M167" s="43"/>
      <c r="N167" s="43"/>
      <c r="O167" s="43"/>
      <c r="P167" s="52"/>
      <c r="Q167" s="66"/>
    </row>
    <row r="168" spans="1:17" ht="26.4" x14ac:dyDescent="0.25">
      <c r="A168" s="42" t="s">
        <v>26</v>
      </c>
      <c r="B168" s="43">
        <v>5</v>
      </c>
      <c r="C168" s="65" t="s">
        <v>256</v>
      </c>
      <c r="D168" s="86" t="s">
        <v>257</v>
      </c>
      <c r="E168" s="56"/>
      <c r="F168" s="43" t="s">
        <v>8</v>
      </c>
      <c r="G168" s="68"/>
      <c r="H168" s="48"/>
      <c r="I168" s="43"/>
      <c r="J168" s="43"/>
      <c r="K168" s="43"/>
      <c r="L168" s="48"/>
      <c r="M168" s="43"/>
      <c r="N168" s="43"/>
      <c r="O168" s="43"/>
      <c r="P168" s="52"/>
      <c r="Q168" s="66"/>
    </row>
    <row r="169" spans="1:17" ht="26.4" x14ac:dyDescent="0.25">
      <c r="A169" s="42" t="s">
        <v>26</v>
      </c>
      <c r="B169" s="43">
        <v>6</v>
      </c>
      <c r="C169" s="65" t="s">
        <v>256</v>
      </c>
      <c r="D169" s="86" t="s">
        <v>257</v>
      </c>
      <c r="E169" s="56"/>
      <c r="F169" s="43" t="s">
        <v>8</v>
      </c>
      <c r="G169" s="68"/>
      <c r="H169" s="48"/>
      <c r="I169" s="43"/>
      <c r="J169" s="43"/>
      <c r="K169" s="43"/>
      <c r="L169" s="48"/>
      <c r="M169" s="43"/>
      <c r="N169" s="43"/>
      <c r="O169" s="43"/>
      <c r="P169" s="52"/>
      <c r="Q169" s="66"/>
    </row>
    <row r="170" spans="1:17" ht="39.6" x14ac:dyDescent="0.25">
      <c r="A170" s="42" t="s">
        <v>26</v>
      </c>
      <c r="B170" s="43">
        <v>7</v>
      </c>
      <c r="C170" s="56" t="s">
        <v>258</v>
      </c>
      <c r="D170" s="86" t="s">
        <v>257</v>
      </c>
      <c r="E170" s="56"/>
      <c r="F170" s="43" t="s">
        <v>8</v>
      </c>
      <c r="G170" s="68"/>
      <c r="H170" s="48"/>
      <c r="I170" s="43"/>
      <c r="J170" s="43"/>
      <c r="K170" s="43"/>
      <c r="L170" s="48"/>
      <c r="M170" s="43"/>
      <c r="N170" s="43"/>
      <c r="O170" s="43"/>
      <c r="P170" s="52"/>
      <c r="Q170" s="66"/>
    </row>
    <row r="171" spans="1:17" ht="39.6" x14ac:dyDescent="0.25">
      <c r="A171" s="42" t="s">
        <v>26</v>
      </c>
      <c r="B171" s="43">
        <v>8</v>
      </c>
      <c r="C171" s="56" t="s">
        <v>258</v>
      </c>
      <c r="D171" s="86" t="s">
        <v>257</v>
      </c>
      <c r="E171" s="56"/>
      <c r="F171" s="43" t="s">
        <v>8</v>
      </c>
      <c r="G171" s="68"/>
      <c r="H171" s="48"/>
      <c r="I171" s="43"/>
      <c r="J171" s="43"/>
      <c r="K171" s="43"/>
      <c r="L171" s="48"/>
      <c r="M171" s="43"/>
      <c r="N171" s="43"/>
      <c r="O171" s="43"/>
      <c r="P171" s="52"/>
      <c r="Q171" s="66"/>
    </row>
    <row r="172" spans="1:17" ht="39.6" x14ac:dyDescent="0.25">
      <c r="A172" s="42" t="s">
        <v>26</v>
      </c>
      <c r="B172" s="43">
        <v>9</v>
      </c>
      <c r="C172" s="56" t="s">
        <v>258</v>
      </c>
      <c r="D172" s="86" t="s">
        <v>257</v>
      </c>
      <c r="E172" s="56"/>
      <c r="F172" s="43" t="s">
        <v>8</v>
      </c>
      <c r="G172" s="68"/>
      <c r="H172" s="48"/>
      <c r="I172" s="43"/>
      <c r="J172" s="43"/>
      <c r="K172" s="43"/>
      <c r="L172" s="48"/>
      <c r="M172" s="43"/>
      <c r="N172" s="43"/>
      <c r="O172" s="43"/>
      <c r="P172" s="52"/>
      <c r="Q172" s="66"/>
    </row>
    <row r="173" spans="1:17" ht="39.6" x14ac:dyDescent="0.25">
      <c r="A173" s="42" t="s">
        <v>26</v>
      </c>
      <c r="B173" s="43">
        <v>10</v>
      </c>
      <c r="C173" s="56" t="s">
        <v>259</v>
      </c>
      <c r="D173" s="85" t="s">
        <v>260</v>
      </c>
      <c r="E173" s="69"/>
      <c r="F173" s="43" t="s">
        <v>8</v>
      </c>
      <c r="G173" s="68"/>
      <c r="H173" s="48"/>
      <c r="I173" s="43"/>
      <c r="J173" s="43"/>
      <c r="K173" s="43"/>
      <c r="L173" s="48"/>
      <c r="M173" s="43"/>
      <c r="N173" s="43"/>
      <c r="O173" s="43"/>
      <c r="P173" s="52"/>
      <c r="Q173" s="66"/>
    </row>
    <row r="174" spans="1:17" ht="39.6" x14ac:dyDescent="0.25">
      <c r="A174" s="42" t="s">
        <v>26</v>
      </c>
      <c r="B174" s="43">
        <v>11</v>
      </c>
      <c r="C174" s="56" t="s">
        <v>259</v>
      </c>
      <c r="D174" s="85" t="s">
        <v>260</v>
      </c>
      <c r="E174" s="69"/>
      <c r="F174" s="43" t="s">
        <v>8</v>
      </c>
      <c r="G174" s="68"/>
      <c r="H174" s="48"/>
      <c r="I174" s="43"/>
      <c r="J174" s="43"/>
      <c r="K174" s="43"/>
      <c r="L174" s="48"/>
      <c r="M174" s="43"/>
      <c r="N174" s="43"/>
      <c r="O174" s="43"/>
      <c r="P174" s="52"/>
      <c r="Q174" s="66"/>
    </row>
    <row r="175" spans="1:17" ht="39.6" x14ac:dyDescent="0.25">
      <c r="A175" s="42" t="s">
        <v>26</v>
      </c>
      <c r="B175" s="43">
        <v>12</v>
      </c>
      <c r="C175" s="56" t="s">
        <v>259</v>
      </c>
      <c r="D175" s="85" t="s">
        <v>260</v>
      </c>
      <c r="E175" s="69"/>
      <c r="F175" s="43" t="s">
        <v>8</v>
      </c>
      <c r="G175" s="68"/>
      <c r="H175" s="48"/>
      <c r="I175" s="43"/>
      <c r="J175" s="43"/>
      <c r="K175" s="43"/>
      <c r="L175" s="48"/>
      <c r="M175" s="43"/>
      <c r="N175" s="43"/>
      <c r="O175" s="43"/>
      <c r="P175" s="52"/>
      <c r="Q175" s="66"/>
    </row>
    <row r="176" spans="1:17" ht="39.6" x14ac:dyDescent="0.25">
      <c r="A176" s="42" t="s">
        <v>26</v>
      </c>
      <c r="B176" s="43">
        <v>13</v>
      </c>
      <c r="C176" s="56" t="s">
        <v>261</v>
      </c>
      <c r="D176" s="85" t="s">
        <v>262</v>
      </c>
      <c r="E176" s="69"/>
      <c r="F176" s="43" t="s">
        <v>8</v>
      </c>
      <c r="G176" s="68"/>
      <c r="H176" s="48"/>
      <c r="I176" s="43"/>
      <c r="J176" s="43"/>
      <c r="K176" s="43"/>
      <c r="L176" s="48"/>
      <c r="M176" s="43"/>
      <c r="N176" s="43"/>
      <c r="O176" s="43"/>
      <c r="P176" s="52"/>
      <c r="Q176" s="66"/>
    </row>
    <row r="177" spans="1:17" ht="39.6" x14ac:dyDescent="0.25">
      <c r="A177" s="42" t="s">
        <v>26</v>
      </c>
      <c r="B177" s="43">
        <v>14</v>
      </c>
      <c r="C177" s="56" t="s">
        <v>261</v>
      </c>
      <c r="D177" s="85" t="s">
        <v>262</v>
      </c>
      <c r="E177" s="69"/>
      <c r="F177" s="43" t="s">
        <v>8</v>
      </c>
      <c r="G177" s="68"/>
      <c r="H177" s="48"/>
      <c r="I177" s="43"/>
      <c r="J177" s="43"/>
      <c r="K177" s="43"/>
      <c r="L177" s="48"/>
      <c r="M177" s="43"/>
      <c r="N177" s="43"/>
      <c r="O177" s="43"/>
      <c r="P177" s="52"/>
      <c r="Q177" s="66"/>
    </row>
    <row r="178" spans="1:17" ht="39.6" x14ac:dyDescent="0.25">
      <c r="A178" s="42" t="s">
        <v>26</v>
      </c>
      <c r="B178" s="43">
        <v>15</v>
      </c>
      <c r="C178" s="56" t="s">
        <v>261</v>
      </c>
      <c r="D178" s="85" t="s">
        <v>262</v>
      </c>
      <c r="E178" s="69"/>
      <c r="F178" s="43" t="s">
        <v>8</v>
      </c>
      <c r="G178" s="68"/>
      <c r="H178" s="48"/>
      <c r="I178" s="43"/>
      <c r="J178" s="43"/>
      <c r="K178" s="43"/>
      <c r="L178" s="48"/>
      <c r="M178" s="43"/>
      <c r="N178" s="43"/>
      <c r="O178" s="43"/>
      <c r="P178" s="52"/>
      <c r="Q178" s="66"/>
    </row>
    <row r="179" spans="1:17" ht="52.8" x14ac:dyDescent="0.25">
      <c r="A179" s="42" t="s">
        <v>26</v>
      </c>
      <c r="B179" s="43">
        <v>16</v>
      </c>
      <c r="C179" s="56" t="s">
        <v>263</v>
      </c>
      <c r="D179" s="85" t="s">
        <v>264</v>
      </c>
      <c r="E179" s="69"/>
      <c r="F179" s="43" t="s">
        <v>8</v>
      </c>
      <c r="G179" s="68"/>
      <c r="H179" s="48"/>
      <c r="I179" s="43"/>
      <c r="J179" s="43"/>
      <c r="K179" s="43"/>
      <c r="L179" s="48"/>
      <c r="M179" s="43"/>
      <c r="N179" s="43"/>
      <c r="O179" s="43"/>
      <c r="P179" s="52"/>
      <c r="Q179" s="66"/>
    </row>
    <row r="180" spans="1:17" ht="52.8" x14ac:dyDescent="0.25">
      <c r="A180" s="42" t="s">
        <v>26</v>
      </c>
      <c r="B180" s="43">
        <v>17</v>
      </c>
      <c r="C180" s="56" t="s">
        <v>263</v>
      </c>
      <c r="D180" s="85" t="s">
        <v>264</v>
      </c>
      <c r="E180" s="69"/>
      <c r="F180" s="43" t="s">
        <v>8</v>
      </c>
      <c r="G180" s="68"/>
      <c r="H180" s="48"/>
      <c r="I180" s="43"/>
      <c r="J180" s="43"/>
      <c r="K180" s="43"/>
      <c r="L180" s="48"/>
      <c r="M180" s="43"/>
      <c r="N180" s="43"/>
      <c r="O180" s="43"/>
      <c r="P180" s="52"/>
      <c r="Q180" s="66"/>
    </row>
    <row r="181" spans="1:17" ht="52.8" x14ac:dyDescent="0.25">
      <c r="A181" s="42" t="s">
        <v>26</v>
      </c>
      <c r="B181" s="43">
        <v>18</v>
      </c>
      <c r="C181" s="56" t="s">
        <v>263</v>
      </c>
      <c r="D181" s="85" t="s">
        <v>264</v>
      </c>
      <c r="E181" s="69"/>
      <c r="F181" s="43" t="s">
        <v>8</v>
      </c>
      <c r="G181" s="68"/>
      <c r="H181" s="48"/>
      <c r="I181" s="43"/>
      <c r="J181" s="43"/>
      <c r="K181" s="43"/>
      <c r="L181" s="48"/>
      <c r="M181" s="43"/>
      <c r="N181" s="43"/>
      <c r="O181" s="43"/>
      <c r="P181" s="52"/>
      <c r="Q181" s="66"/>
    </row>
    <row r="182" spans="1:17" ht="52.8" x14ac:dyDescent="0.25">
      <c r="A182" s="42" t="s">
        <v>26</v>
      </c>
      <c r="B182" s="43">
        <v>19</v>
      </c>
      <c r="C182" s="56" t="s">
        <v>265</v>
      </c>
      <c r="D182" s="85" t="s">
        <v>264</v>
      </c>
      <c r="E182" s="69"/>
      <c r="F182" s="43" t="s">
        <v>8</v>
      </c>
      <c r="G182" s="68"/>
      <c r="H182" s="48"/>
      <c r="I182" s="43"/>
      <c r="J182" s="43"/>
      <c r="K182" s="43"/>
      <c r="L182" s="48"/>
      <c r="M182" s="43"/>
      <c r="N182" s="43"/>
      <c r="O182" s="43"/>
      <c r="P182" s="52"/>
      <c r="Q182" s="66"/>
    </row>
    <row r="183" spans="1:17" ht="52.8" x14ac:dyDescent="0.25">
      <c r="A183" s="42" t="s">
        <v>26</v>
      </c>
      <c r="B183" s="43">
        <v>20</v>
      </c>
      <c r="C183" s="56" t="s">
        <v>265</v>
      </c>
      <c r="D183" s="85" t="s">
        <v>264</v>
      </c>
      <c r="E183" s="69"/>
      <c r="F183" s="43" t="s">
        <v>8</v>
      </c>
      <c r="G183" s="68"/>
      <c r="H183" s="48"/>
      <c r="I183" s="43"/>
      <c r="J183" s="43"/>
      <c r="K183" s="43"/>
      <c r="L183" s="48"/>
      <c r="M183" s="43"/>
      <c r="N183" s="43"/>
      <c r="O183" s="43"/>
      <c r="P183" s="52"/>
      <c r="Q183" s="66"/>
    </row>
    <row r="184" spans="1:17" ht="52.8" x14ac:dyDescent="0.25">
      <c r="A184" s="42" t="s">
        <v>26</v>
      </c>
      <c r="B184" s="43">
        <v>21</v>
      </c>
      <c r="C184" s="56" t="s">
        <v>265</v>
      </c>
      <c r="D184" s="85" t="s">
        <v>264</v>
      </c>
      <c r="E184" s="69"/>
      <c r="F184" s="43" t="s">
        <v>8</v>
      </c>
      <c r="G184" s="68"/>
      <c r="H184" s="48"/>
      <c r="I184" s="43"/>
      <c r="J184" s="43"/>
      <c r="K184" s="43"/>
      <c r="L184" s="48"/>
      <c r="M184" s="43"/>
      <c r="N184" s="43"/>
      <c r="O184" s="43"/>
      <c r="P184" s="52"/>
      <c r="Q184" s="66"/>
    </row>
    <row r="185" spans="1:17" ht="52.8" x14ac:dyDescent="0.25">
      <c r="A185" s="42" t="s">
        <v>26</v>
      </c>
      <c r="B185" s="43">
        <v>22</v>
      </c>
      <c r="C185" s="56" t="s">
        <v>266</v>
      </c>
      <c r="D185" s="85" t="s">
        <v>267</v>
      </c>
      <c r="E185" s="69"/>
      <c r="F185" s="43" t="s">
        <v>8</v>
      </c>
      <c r="G185" s="68"/>
      <c r="H185" s="48"/>
      <c r="I185" s="43"/>
      <c r="J185" s="43"/>
      <c r="K185" s="43"/>
      <c r="L185" s="48"/>
      <c r="M185" s="43"/>
      <c r="N185" s="43"/>
      <c r="O185" s="43"/>
      <c r="P185" s="52"/>
      <c r="Q185" s="66"/>
    </row>
    <row r="186" spans="1:17" ht="52.8" x14ac:dyDescent="0.25">
      <c r="A186" s="42" t="s">
        <v>26</v>
      </c>
      <c r="B186" s="43">
        <v>23</v>
      </c>
      <c r="C186" s="56" t="s">
        <v>266</v>
      </c>
      <c r="D186" s="85" t="s">
        <v>267</v>
      </c>
      <c r="E186" s="69"/>
      <c r="F186" s="43" t="s">
        <v>8</v>
      </c>
      <c r="G186" s="68"/>
      <c r="H186" s="48"/>
      <c r="I186" s="43"/>
      <c r="J186" s="43"/>
      <c r="K186" s="43"/>
      <c r="L186" s="48"/>
      <c r="M186" s="43"/>
      <c r="N186" s="43"/>
      <c r="O186" s="43"/>
      <c r="P186" s="52"/>
      <c r="Q186" s="66"/>
    </row>
    <row r="187" spans="1:17" ht="52.8" x14ac:dyDescent="0.25">
      <c r="A187" s="42" t="s">
        <v>26</v>
      </c>
      <c r="B187" s="43">
        <v>24</v>
      </c>
      <c r="C187" s="56" t="s">
        <v>266</v>
      </c>
      <c r="D187" s="85" t="s">
        <v>267</v>
      </c>
      <c r="E187" s="69"/>
      <c r="F187" s="43" t="s">
        <v>8</v>
      </c>
      <c r="G187" s="68"/>
      <c r="H187" s="48"/>
      <c r="I187" s="43"/>
      <c r="J187" s="43"/>
      <c r="K187" s="43"/>
      <c r="L187" s="48"/>
      <c r="M187" s="43"/>
      <c r="N187" s="43"/>
      <c r="O187" s="43"/>
      <c r="P187" s="52"/>
      <c r="Q187" s="66"/>
    </row>
    <row r="188" spans="1:17" ht="52.8" x14ac:dyDescent="0.25">
      <c r="A188" s="42" t="s">
        <v>26</v>
      </c>
      <c r="B188" s="43">
        <v>25</v>
      </c>
      <c r="C188" s="56" t="s">
        <v>268</v>
      </c>
      <c r="D188" s="86" t="s">
        <v>269</v>
      </c>
      <c r="E188" s="56"/>
      <c r="F188" s="43" t="s">
        <v>8</v>
      </c>
      <c r="G188" s="68"/>
      <c r="H188" s="48"/>
      <c r="I188" s="43"/>
      <c r="J188" s="43"/>
      <c r="K188" s="43"/>
      <c r="L188" s="48"/>
      <c r="M188" s="43"/>
      <c r="N188" s="43"/>
      <c r="O188" s="43"/>
      <c r="P188" s="52"/>
      <c r="Q188" s="66"/>
    </row>
    <row r="189" spans="1:17" ht="52.8" x14ac:dyDescent="0.25">
      <c r="A189" s="42" t="s">
        <v>26</v>
      </c>
      <c r="B189" s="43">
        <v>26</v>
      </c>
      <c r="C189" s="56" t="s">
        <v>268</v>
      </c>
      <c r="D189" s="86" t="s">
        <v>269</v>
      </c>
      <c r="E189" s="56"/>
      <c r="F189" s="43" t="s">
        <v>8</v>
      </c>
      <c r="G189" s="68"/>
      <c r="H189" s="48"/>
      <c r="I189" s="43"/>
      <c r="J189" s="43"/>
      <c r="K189" s="43"/>
      <c r="L189" s="48"/>
      <c r="M189" s="43"/>
      <c r="N189" s="43"/>
      <c r="O189" s="43"/>
      <c r="P189" s="52"/>
      <c r="Q189" s="66"/>
    </row>
    <row r="190" spans="1:17" ht="52.8" x14ac:dyDescent="0.25">
      <c r="A190" s="42" t="s">
        <v>26</v>
      </c>
      <c r="B190" s="43">
        <v>27</v>
      </c>
      <c r="C190" s="56" t="s">
        <v>268</v>
      </c>
      <c r="D190" s="86" t="s">
        <v>269</v>
      </c>
      <c r="E190" s="56"/>
      <c r="F190" s="43" t="s">
        <v>8</v>
      </c>
      <c r="G190" s="68"/>
      <c r="H190" s="48"/>
      <c r="I190" s="43"/>
      <c r="J190" s="43"/>
      <c r="K190" s="43"/>
      <c r="L190" s="48"/>
      <c r="M190" s="43"/>
      <c r="N190" s="43"/>
      <c r="O190" s="43"/>
      <c r="P190" s="52"/>
      <c r="Q190" s="66"/>
    </row>
    <row r="191" spans="1:17" ht="52.8" x14ac:dyDescent="0.25">
      <c r="A191" s="42" t="s">
        <v>26</v>
      </c>
      <c r="B191" s="43">
        <v>28</v>
      </c>
      <c r="C191" s="56" t="s">
        <v>270</v>
      </c>
      <c r="D191" s="85" t="s">
        <v>271</v>
      </c>
      <c r="E191" s="69"/>
      <c r="F191" s="43" t="s">
        <v>8</v>
      </c>
      <c r="G191" s="68"/>
      <c r="H191" s="48"/>
      <c r="I191" s="43"/>
      <c r="J191" s="43"/>
      <c r="K191" s="43"/>
      <c r="L191" s="48"/>
      <c r="M191" s="43"/>
      <c r="N191" s="43"/>
      <c r="O191" s="43"/>
      <c r="P191" s="52"/>
      <c r="Q191" s="66"/>
    </row>
    <row r="192" spans="1:17" ht="52.8" x14ac:dyDescent="0.25">
      <c r="A192" s="42" t="s">
        <v>26</v>
      </c>
      <c r="B192" s="43">
        <v>29</v>
      </c>
      <c r="C192" s="56" t="s">
        <v>270</v>
      </c>
      <c r="D192" s="85" t="s">
        <v>271</v>
      </c>
      <c r="E192" s="69"/>
      <c r="F192" s="43" t="s">
        <v>8</v>
      </c>
      <c r="G192" s="68"/>
      <c r="H192" s="48"/>
      <c r="I192" s="43"/>
      <c r="J192" s="43"/>
      <c r="K192" s="43"/>
      <c r="L192" s="48"/>
      <c r="M192" s="43"/>
      <c r="N192" s="43"/>
      <c r="O192" s="43"/>
      <c r="P192" s="52"/>
      <c r="Q192" s="66"/>
    </row>
    <row r="193" spans="1:17" ht="52.8" x14ac:dyDescent="0.25">
      <c r="A193" s="42" t="s">
        <v>26</v>
      </c>
      <c r="B193" s="43">
        <v>30</v>
      </c>
      <c r="C193" s="56" t="s">
        <v>270</v>
      </c>
      <c r="D193" s="85" t="s">
        <v>271</v>
      </c>
      <c r="E193" s="69"/>
      <c r="F193" s="43" t="s">
        <v>8</v>
      </c>
      <c r="G193" s="68"/>
      <c r="H193" s="48"/>
      <c r="I193" s="43"/>
      <c r="J193" s="43"/>
      <c r="K193" s="43"/>
      <c r="L193" s="48"/>
      <c r="M193" s="43"/>
      <c r="N193" s="43"/>
      <c r="O193" s="43"/>
      <c r="P193" s="52"/>
      <c r="Q193" s="66"/>
    </row>
    <row r="194" spans="1:17" ht="52.8" x14ac:dyDescent="0.25">
      <c r="A194" s="42" t="s">
        <v>26</v>
      </c>
      <c r="B194" s="43">
        <v>31</v>
      </c>
      <c r="C194" s="56" t="s">
        <v>272</v>
      </c>
      <c r="D194" s="85" t="s">
        <v>271</v>
      </c>
      <c r="E194" s="69"/>
      <c r="F194" s="43" t="s">
        <v>8</v>
      </c>
      <c r="G194" s="68"/>
      <c r="H194" s="48"/>
      <c r="I194" s="43"/>
      <c r="J194" s="43"/>
      <c r="K194" s="43"/>
      <c r="L194" s="48"/>
      <c r="M194" s="43"/>
      <c r="N194" s="43"/>
      <c r="O194" s="43"/>
      <c r="P194" s="52"/>
      <c r="Q194" s="66"/>
    </row>
    <row r="195" spans="1:17" ht="52.8" x14ac:dyDescent="0.25">
      <c r="A195" s="42" t="s">
        <v>26</v>
      </c>
      <c r="B195" s="43">
        <v>32</v>
      </c>
      <c r="C195" s="56" t="s">
        <v>272</v>
      </c>
      <c r="D195" s="85" t="s">
        <v>271</v>
      </c>
      <c r="E195" s="69"/>
      <c r="F195" s="43" t="s">
        <v>8</v>
      </c>
      <c r="G195" s="68"/>
      <c r="H195" s="48"/>
      <c r="I195" s="43"/>
      <c r="J195" s="43"/>
      <c r="K195" s="43"/>
      <c r="L195" s="48"/>
      <c r="M195" s="43"/>
      <c r="N195" s="43"/>
      <c r="O195" s="43"/>
      <c r="P195" s="52"/>
      <c r="Q195" s="66"/>
    </row>
    <row r="196" spans="1:17" ht="52.8" x14ac:dyDescent="0.25">
      <c r="A196" s="42" t="s">
        <v>26</v>
      </c>
      <c r="B196" s="43">
        <v>33</v>
      </c>
      <c r="C196" s="56" t="s">
        <v>272</v>
      </c>
      <c r="D196" s="85" t="s">
        <v>271</v>
      </c>
      <c r="E196" s="69"/>
      <c r="F196" s="43" t="s">
        <v>8</v>
      </c>
      <c r="G196" s="68"/>
      <c r="H196" s="48"/>
      <c r="I196" s="43"/>
      <c r="J196" s="43"/>
      <c r="K196" s="43"/>
      <c r="L196" s="48"/>
      <c r="M196" s="43"/>
      <c r="N196" s="43"/>
      <c r="O196" s="43"/>
      <c r="P196" s="52"/>
      <c r="Q196" s="66"/>
    </row>
    <row r="197" spans="1:17" ht="52.8" x14ac:dyDescent="0.25">
      <c r="A197" s="42" t="s">
        <v>26</v>
      </c>
      <c r="B197" s="43">
        <v>34</v>
      </c>
      <c r="C197" s="56" t="s">
        <v>273</v>
      </c>
      <c r="D197" s="85" t="s">
        <v>271</v>
      </c>
      <c r="E197" s="69"/>
      <c r="F197" s="43" t="s">
        <v>8</v>
      </c>
      <c r="G197" s="68"/>
      <c r="H197" s="48"/>
      <c r="I197" s="43"/>
      <c r="J197" s="43"/>
      <c r="K197" s="43"/>
      <c r="L197" s="48"/>
      <c r="M197" s="43"/>
      <c r="N197" s="43"/>
      <c r="O197" s="43"/>
      <c r="P197" s="52"/>
      <c r="Q197" s="66"/>
    </row>
    <row r="198" spans="1:17" ht="52.8" x14ac:dyDescent="0.25">
      <c r="A198" s="42" t="s">
        <v>26</v>
      </c>
      <c r="B198" s="43">
        <v>35</v>
      </c>
      <c r="C198" s="56" t="s">
        <v>273</v>
      </c>
      <c r="D198" s="85" t="s">
        <v>271</v>
      </c>
      <c r="E198" s="69"/>
      <c r="F198" s="43" t="s">
        <v>8</v>
      </c>
      <c r="G198" s="68"/>
      <c r="H198" s="48"/>
      <c r="I198" s="43"/>
      <c r="J198" s="43"/>
      <c r="K198" s="43"/>
      <c r="L198" s="48"/>
      <c r="M198" s="43"/>
      <c r="N198" s="43"/>
      <c r="O198" s="43"/>
      <c r="P198" s="52"/>
      <c r="Q198" s="66"/>
    </row>
    <row r="199" spans="1:17" ht="52.8" x14ac:dyDescent="0.25">
      <c r="A199" s="42" t="s">
        <v>26</v>
      </c>
      <c r="B199" s="43">
        <v>36</v>
      </c>
      <c r="C199" s="56" t="s">
        <v>273</v>
      </c>
      <c r="D199" s="85" t="s">
        <v>271</v>
      </c>
      <c r="E199" s="69"/>
      <c r="F199" s="43" t="s">
        <v>8</v>
      </c>
      <c r="G199" s="68"/>
      <c r="H199" s="48"/>
      <c r="I199" s="43"/>
      <c r="J199" s="43"/>
      <c r="K199" s="43"/>
      <c r="L199" s="48"/>
      <c r="M199" s="43"/>
      <c r="N199" s="43"/>
      <c r="O199" s="43"/>
      <c r="P199" s="52"/>
      <c r="Q199" s="66"/>
    </row>
    <row r="200" spans="1:17" ht="39.6" x14ac:dyDescent="0.25">
      <c r="A200" s="42" t="s">
        <v>26</v>
      </c>
      <c r="B200" s="43">
        <v>37</v>
      </c>
      <c r="C200" s="56" t="s">
        <v>274</v>
      </c>
      <c r="D200" s="85" t="s">
        <v>275</v>
      </c>
      <c r="E200" s="69"/>
      <c r="F200" s="43" t="s">
        <v>8</v>
      </c>
      <c r="G200" s="68"/>
      <c r="H200" s="48"/>
      <c r="I200" s="43"/>
      <c r="J200" s="43"/>
      <c r="K200" s="43"/>
      <c r="L200" s="48"/>
      <c r="M200" s="43"/>
      <c r="N200" s="43"/>
      <c r="O200" s="43"/>
      <c r="P200" s="52"/>
      <c r="Q200" s="66"/>
    </row>
    <row r="201" spans="1:17" ht="39.6" x14ac:dyDescent="0.25">
      <c r="A201" s="42" t="s">
        <v>26</v>
      </c>
      <c r="B201" s="43">
        <v>38</v>
      </c>
      <c r="C201" s="56" t="s">
        <v>274</v>
      </c>
      <c r="D201" s="85" t="s">
        <v>275</v>
      </c>
      <c r="E201" s="69"/>
      <c r="F201" s="43" t="s">
        <v>8</v>
      </c>
      <c r="G201" s="68"/>
      <c r="H201" s="48"/>
      <c r="I201" s="43"/>
      <c r="J201" s="43"/>
      <c r="K201" s="43"/>
      <c r="L201" s="48"/>
      <c r="M201" s="43"/>
      <c r="N201" s="43"/>
      <c r="O201" s="43"/>
      <c r="P201" s="52"/>
      <c r="Q201" s="66"/>
    </row>
    <row r="202" spans="1:17" ht="39.6" x14ac:dyDescent="0.25">
      <c r="A202" s="42" t="s">
        <v>26</v>
      </c>
      <c r="B202" s="43">
        <v>39</v>
      </c>
      <c r="C202" s="56" t="s">
        <v>274</v>
      </c>
      <c r="D202" s="85" t="s">
        <v>275</v>
      </c>
      <c r="E202" s="69"/>
      <c r="F202" s="43" t="s">
        <v>8</v>
      </c>
      <c r="G202" s="68"/>
      <c r="H202" s="48"/>
      <c r="I202" s="43"/>
      <c r="J202" s="43"/>
      <c r="K202" s="43"/>
      <c r="L202" s="48"/>
      <c r="M202" s="43"/>
      <c r="N202" s="43"/>
      <c r="O202" s="43"/>
      <c r="P202" s="52"/>
      <c r="Q202" s="66"/>
    </row>
    <row r="203" spans="1:17" ht="39.6" x14ac:dyDescent="0.25">
      <c r="A203" s="42" t="s">
        <v>26</v>
      </c>
      <c r="B203" s="43">
        <v>40</v>
      </c>
      <c r="C203" s="56" t="s">
        <v>276</v>
      </c>
      <c r="D203" s="85" t="s">
        <v>277</v>
      </c>
      <c r="E203" s="69"/>
      <c r="F203" s="43" t="s">
        <v>8</v>
      </c>
      <c r="G203" s="68"/>
      <c r="H203" s="48"/>
      <c r="I203" s="43"/>
      <c r="J203" s="43"/>
      <c r="K203" s="43"/>
      <c r="L203" s="48"/>
      <c r="M203" s="43"/>
      <c r="N203" s="43"/>
      <c r="O203" s="43"/>
      <c r="P203" s="52"/>
      <c r="Q203" s="66"/>
    </row>
    <row r="204" spans="1:17" ht="39.6" x14ac:dyDescent="0.25">
      <c r="A204" s="42" t="s">
        <v>26</v>
      </c>
      <c r="B204" s="43">
        <v>41</v>
      </c>
      <c r="C204" s="56" t="s">
        <v>276</v>
      </c>
      <c r="D204" s="85" t="s">
        <v>277</v>
      </c>
      <c r="E204" s="69"/>
      <c r="F204" s="43" t="s">
        <v>8</v>
      </c>
      <c r="G204" s="68"/>
      <c r="H204" s="48"/>
      <c r="I204" s="43"/>
      <c r="J204" s="43"/>
      <c r="K204" s="43"/>
      <c r="L204" s="48"/>
      <c r="M204" s="43"/>
      <c r="N204" s="43"/>
      <c r="O204" s="43"/>
      <c r="P204" s="52"/>
      <c r="Q204" s="66"/>
    </row>
    <row r="205" spans="1:17" ht="39.6" x14ac:dyDescent="0.25">
      <c r="A205" s="42" t="s">
        <v>26</v>
      </c>
      <c r="B205" s="43">
        <v>42</v>
      </c>
      <c r="C205" s="56" t="s">
        <v>276</v>
      </c>
      <c r="D205" s="85" t="s">
        <v>277</v>
      </c>
      <c r="E205" s="69"/>
      <c r="F205" s="43" t="s">
        <v>8</v>
      </c>
      <c r="G205" s="68"/>
      <c r="H205" s="48"/>
      <c r="I205" s="43"/>
      <c r="J205" s="43"/>
      <c r="K205" s="43"/>
      <c r="L205" s="48"/>
      <c r="M205" s="43"/>
      <c r="N205" s="43"/>
      <c r="O205" s="43"/>
      <c r="P205" s="52"/>
      <c r="Q205" s="66"/>
    </row>
    <row r="206" spans="1:17" ht="118.8" x14ac:dyDescent="0.25">
      <c r="A206" s="42" t="s">
        <v>278</v>
      </c>
      <c r="B206" s="55">
        <v>1</v>
      </c>
      <c r="C206" s="65" t="s">
        <v>279</v>
      </c>
      <c r="D206" s="90" t="s">
        <v>280</v>
      </c>
      <c r="E206" s="65" t="s">
        <v>281</v>
      </c>
      <c r="F206" s="43" t="s">
        <v>4</v>
      </c>
      <c r="G206" s="50">
        <v>45820</v>
      </c>
      <c r="H206" s="48"/>
      <c r="I206" s="49" t="s">
        <v>68</v>
      </c>
      <c r="J206" s="43"/>
      <c r="K206" s="43"/>
      <c r="L206" s="48"/>
      <c r="M206" s="43"/>
      <c r="N206" s="43"/>
      <c r="O206" s="43"/>
      <c r="P206" s="52" t="s">
        <v>69</v>
      </c>
      <c r="Q206" s="51" t="s">
        <v>147</v>
      </c>
    </row>
    <row r="207" spans="1:17" ht="118.8" x14ac:dyDescent="0.25">
      <c r="A207" s="42" t="s">
        <v>278</v>
      </c>
      <c r="B207" s="43">
        <v>2</v>
      </c>
      <c r="C207" s="65" t="s">
        <v>279</v>
      </c>
      <c r="D207" s="90" t="s">
        <v>280</v>
      </c>
      <c r="E207" s="65" t="s">
        <v>281</v>
      </c>
      <c r="F207" s="43" t="s">
        <v>4</v>
      </c>
      <c r="G207" s="50">
        <v>45820</v>
      </c>
      <c r="H207" s="48"/>
      <c r="I207" s="49" t="s">
        <v>68</v>
      </c>
      <c r="J207" s="43"/>
      <c r="K207" s="43"/>
      <c r="L207" s="48"/>
      <c r="M207" s="43"/>
      <c r="N207" s="43"/>
      <c r="O207" s="43"/>
      <c r="P207" s="52" t="s">
        <v>69</v>
      </c>
      <c r="Q207" s="51" t="s">
        <v>147</v>
      </c>
    </row>
    <row r="208" spans="1:17" ht="118.8" x14ac:dyDescent="0.25">
      <c r="A208" s="42" t="s">
        <v>278</v>
      </c>
      <c r="B208" s="43">
        <v>3</v>
      </c>
      <c r="C208" s="65" t="s">
        <v>279</v>
      </c>
      <c r="D208" s="90" t="s">
        <v>280</v>
      </c>
      <c r="E208" s="65" t="s">
        <v>281</v>
      </c>
      <c r="F208" s="43" t="s">
        <v>4</v>
      </c>
      <c r="G208" s="50">
        <v>45820</v>
      </c>
      <c r="H208" s="48"/>
      <c r="I208" s="49" t="s">
        <v>68</v>
      </c>
      <c r="J208" s="43"/>
      <c r="K208" s="43"/>
      <c r="L208" s="48"/>
      <c r="M208" s="43"/>
      <c r="N208" s="43"/>
      <c r="O208" s="43"/>
      <c r="P208" s="52" t="s">
        <v>69</v>
      </c>
      <c r="Q208" s="51" t="s">
        <v>147</v>
      </c>
    </row>
    <row r="209" spans="1:17" ht="26.4" x14ac:dyDescent="0.25">
      <c r="A209" s="42" t="s">
        <v>278</v>
      </c>
      <c r="B209" s="55">
        <v>4</v>
      </c>
      <c r="C209" s="65" t="s">
        <v>282</v>
      </c>
      <c r="D209" s="90" t="s">
        <v>280</v>
      </c>
      <c r="E209" s="65"/>
      <c r="F209" s="43" t="s">
        <v>8</v>
      </c>
      <c r="G209" s="62"/>
      <c r="H209" s="48"/>
      <c r="I209" s="62"/>
      <c r="J209" s="43"/>
      <c r="K209" s="43"/>
      <c r="L209" s="48"/>
      <c r="M209" s="43"/>
      <c r="N209" s="43"/>
      <c r="O209" s="43"/>
      <c r="P209" s="52"/>
      <c r="Q209" s="66"/>
    </row>
    <row r="210" spans="1:17" ht="26.4" x14ac:dyDescent="0.25">
      <c r="A210" s="42" t="s">
        <v>278</v>
      </c>
      <c r="B210" s="43">
        <v>5</v>
      </c>
      <c r="C210" s="65" t="s">
        <v>282</v>
      </c>
      <c r="D210" s="90" t="s">
        <v>280</v>
      </c>
      <c r="E210" s="65"/>
      <c r="F210" s="43" t="s">
        <v>8</v>
      </c>
      <c r="G210" s="62"/>
      <c r="H210" s="48"/>
      <c r="I210" s="62"/>
      <c r="J210" s="43"/>
      <c r="K210" s="43"/>
      <c r="L210" s="48"/>
      <c r="M210" s="43"/>
      <c r="N210" s="43"/>
      <c r="O210" s="43"/>
      <c r="P210" s="52"/>
      <c r="Q210" s="66"/>
    </row>
    <row r="211" spans="1:17" ht="26.4" x14ac:dyDescent="0.25">
      <c r="A211" s="42" t="s">
        <v>278</v>
      </c>
      <c r="B211" s="43">
        <v>6</v>
      </c>
      <c r="C211" s="65" t="s">
        <v>282</v>
      </c>
      <c r="D211" s="90" t="s">
        <v>280</v>
      </c>
      <c r="E211" s="65"/>
      <c r="F211" s="43" t="s">
        <v>8</v>
      </c>
      <c r="G211" s="62"/>
      <c r="H211" s="48"/>
      <c r="I211" s="62"/>
      <c r="J211" s="43"/>
      <c r="K211" s="43"/>
      <c r="L211" s="48"/>
      <c r="M211" s="43"/>
      <c r="N211" s="43"/>
      <c r="O211" s="43"/>
      <c r="P211" s="52"/>
      <c r="Q211" s="66"/>
    </row>
    <row r="212" spans="1:17" ht="26.4" x14ac:dyDescent="0.25">
      <c r="A212" s="42" t="s">
        <v>278</v>
      </c>
      <c r="B212" s="55">
        <v>7</v>
      </c>
      <c r="C212" s="65" t="s">
        <v>283</v>
      </c>
      <c r="D212" s="90" t="s">
        <v>280</v>
      </c>
      <c r="E212" s="65"/>
      <c r="F212" s="43" t="s">
        <v>8</v>
      </c>
      <c r="G212" s="62"/>
      <c r="H212" s="48"/>
      <c r="I212" s="62"/>
      <c r="J212" s="43"/>
      <c r="K212" s="43"/>
      <c r="L212" s="48"/>
      <c r="M212" s="43"/>
      <c r="N212" s="43"/>
      <c r="O212" s="43"/>
      <c r="P212" s="52"/>
      <c r="Q212" s="66"/>
    </row>
    <row r="213" spans="1:17" ht="39.6" x14ac:dyDescent="0.25">
      <c r="A213" s="42" t="s">
        <v>278</v>
      </c>
      <c r="B213" s="43">
        <v>8</v>
      </c>
      <c r="C213" s="65" t="s">
        <v>283</v>
      </c>
      <c r="D213" s="90" t="s">
        <v>284</v>
      </c>
      <c r="E213" s="65"/>
      <c r="F213" s="43" t="s">
        <v>8</v>
      </c>
      <c r="G213" s="62"/>
      <c r="H213" s="48"/>
      <c r="I213" s="62"/>
      <c r="J213" s="43"/>
      <c r="K213" s="43"/>
      <c r="L213" s="48"/>
      <c r="M213" s="43"/>
      <c r="N213" s="43"/>
      <c r="O213" s="43"/>
      <c r="P213" s="52"/>
      <c r="Q213" s="66"/>
    </row>
    <row r="214" spans="1:17" ht="39.6" x14ac:dyDescent="0.25">
      <c r="A214" s="42" t="s">
        <v>278</v>
      </c>
      <c r="B214" s="43">
        <v>9</v>
      </c>
      <c r="C214" s="65" t="s">
        <v>283</v>
      </c>
      <c r="D214" s="90" t="s">
        <v>284</v>
      </c>
      <c r="E214" s="65"/>
      <c r="F214" s="43" t="s">
        <v>8</v>
      </c>
      <c r="G214" s="62"/>
      <c r="H214" s="48"/>
      <c r="I214" s="62"/>
      <c r="J214" s="43"/>
      <c r="K214" s="43"/>
      <c r="L214" s="48"/>
      <c r="M214" s="43"/>
      <c r="N214" s="43"/>
      <c r="O214" s="43"/>
      <c r="P214" s="52"/>
      <c r="Q214" s="66"/>
    </row>
    <row r="215" spans="1:17" ht="39.6" x14ac:dyDescent="0.25">
      <c r="A215" s="42" t="s">
        <v>278</v>
      </c>
      <c r="B215" s="43">
        <v>10</v>
      </c>
      <c r="C215" s="65" t="s">
        <v>285</v>
      </c>
      <c r="D215" s="90" t="s">
        <v>284</v>
      </c>
      <c r="E215" s="65"/>
      <c r="F215" s="43" t="s">
        <v>8</v>
      </c>
      <c r="G215" s="62"/>
      <c r="H215" s="48"/>
      <c r="I215" s="62"/>
      <c r="J215" s="43"/>
      <c r="K215" s="43"/>
      <c r="L215" s="48"/>
      <c r="M215" s="43"/>
      <c r="N215" s="43"/>
      <c r="O215" s="43"/>
      <c r="P215" s="52"/>
      <c r="Q215" s="66"/>
    </row>
    <row r="216" spans="1:17" ht="39.6" x14ac:dyDescent="0.25">
      <c r="A216" s="42" t="s">
        <v>278</v>
      </c>
      <c r="B216" s="43">
        <v>11</v>
      </c>
      <c r="C216" s="65" t="s">
        <v>285</v>
      </c>
      <c r="D216" s="90" t="s">
        <v>286</v>
      </c>
      <c r="E216" s="65"/>
      <c r="F216" s="43" t="s">
        <v>8</v>
      </c>
      <c r="G216" s="62"/>
      <c r="H216" s="48"/>
      <c r="I216" s="62"/>
      <c r="J216" s="43"/>
      <c r="K216" s="43"/>
      <c r="L216" s="48"/>
      <c r="M216" s="43"/>
      <c r="N216" s="43"/>
      <c r="O216" s="43"/>
      <c r="P216" s="52"/>
      <c r="Q216" s="66"/>
    </row>
    <row r="217" spans="1:17" ht="39.6" x14ac:dyDescent="0.25">
      <c r="A217" s="42" t="s">
        <v>278</v>
      </c>
      <c r="B217" s="43">
        <v>12</v>
      </c>
      <c r="C217" s="65" t="s">
        <v>285</v>
      </c>
      <c r="D217" s="90" t="s">
        <v>286</v>
      </c>
      <c r="E217" s="65"/>
      <c r="F217" s="43" t="s">
        <v>8</v>
      </c>
      <c r="G217" s="62"/>
      <c r="H217" s="48"/>
      <c r="I217" s="62"/>
      <c r="J217" s="43"/>
      <c r="K217" s="43"/>
      <c r="L217" s="48"/>
      <c r="M217" s="43"/>
      <c r="N217" s="43"/>
      <c r="O217" s="43"/>
      <c r="P217" s="52"/>
      <c r="Q217" s="66"/>
    </row>
    <row r="218" spans="1:17" ht="39.6" x14ac:dyDescent="0.25">
      <c r="A218" s="42" t="s">
        <v>278</v>
      </c>
      <c r="B218" s="43">
        <v>13</v>
      </c>
      <c r="C218" s="65" t="s">
        <v>287</v>
      </c>
      <c r="D218" s="90" t="s">
        <v>286</v>
      </c>
      <c r="E218" s="65"/>
      <c r="F218" s="43" t="s">
        <v>8</v>
      </c>
      <c r="G218" s="62"/>
      <c r="H218" s="48"/>
      <c r="I218" s="62"/>
      <c r="J218" s="43"/>
      <c r="K218" s="43"/>
      <c r="L218" s="48"/>
      <c r="M218" s="43"/>
      <c r="N218" s="43"/>
      <c r="O218" s="43"/>
      <c r="P218" s="52"/>
      <c r="Q218" s="66"/>
    </row>
    <row r="219" spans="1:17" ht="39.6" x14ac:dyDescent="0.25">
      <c r="A219" s="42" t="s">
        <v>278</v>
      </c>
      <c r="B219" s="43">
        <v>14</v>
      </c>
      <c r="C219" s="65" t="s">
        <v>287</v>
      </c>
      <c r="D219" s="90" t="s">
        <v>284</v>
      </c>
      <c r="E219" s="65"/>
      <c r="F219" s="43" t="s">
        <v>8</v>
      </c>
      <c r="G219" s="62"/>
      <c r="H219" s="48"/>
      <c r="I219" s="62"/>
      <c r="J219" s="43"/>
      <c r="K219" s="43"/>
      <c r="L219" s="48"/>
      <c r="M219" s="43"/>
      <c r="N219" s="43"/>
      <c r="O219" s="43"/>
      <c r="P219" s="52"/>
      <c r="Q219" s="66"/>
    </row>
    <row r="220" spans="1:17" ht="39.6" x14ac:dyDescent="0.25">
      <c r="A220" s="42" t="s">
        <v>278</v>
      </c>
      <c r="B220" s="43">
        <v>15</v>
      </c>
      <c r="C220" s="65" t="s">
        <v>287</v>
      </c>
      <c r="D220" s="90" t="s">
        <v>284</v>
      </c>
      <c r="E220" s="65"/>
      <c r="F220" s="43" t="s">
        <v>8</v>
      </c>
      <c r="G220" s="62"/>
      <c r="H220" s="48"/>
      <c r="I220" s="62"/>
      <c r="J220" s="43"/>
      <c r="K220" s="43"/>
      <c r="L220" s="48"/>
      <c r="M220" s="43"/>
      <c r="N220" s="43"/>
      <c r="O220" s="43"/>
      <c r="P220" s="52"/>
      <c r="Q220" s="66"/>
    </row>
    <row r="221" spans="1:17" ht="26.4" x14ac:dyDescent="0.25">
      <c r="A221" s="42" t="s">
        <v>278</v>
      </c>
      <c r="B221" s="43">
        <v>16</v>
      </c>
      <c r="C221" s="33" t="s">
        <v>288</v>
      </c>
      <c r="D221" s="91" t="s">
        <v>289</v>
      </c>
      <c r="E221" s="33"/>
      <c r="F221" s="43" t="s">
        <v>8</v>
      </c>
      <c r="G221" s="62"/>
      <c r="H221" s="48"/>
      <c r="I221" s="62"/>
      <c r="J221" s="43"/>
      <c r="K221" s="43"/>
      <c r="L221" s="48"/>
      <c r="M221" s="43"/>
      <c r="N221" s="43"/>
      <c r="O221" s="43"/>
      <c r="P221" s="52"/>
      <c r="Q221" s="66"/>
    </row>
    <row r="222" spans="1:17" ht="26.4" x14ac:dyDescent="0.25">
      <c r="A222" s="42" t="s">
        <v>278</v>
      </c>
      <c r="B222" s="43">
        <v>17</v>
      </c>
      <c r="C222" s="33" t="s">
        <v>288</v>
      </c>
      <c r="D222" s="91" t="s">
        <v>289</v>
      </c>
      <c r="E222" s="33"/>
      <c r="F222" s="43" t="s">
        <v>8</v>
      </c>
      <c r="G222" s="62"/>
      <c r="H222" s="48"/>
      <c r="I222" s="62"/>
      <c r="J222" s="43"/>
      <c r="K222" s="43"/>
      <c r="L222" s="48"/>
      <c r="M222" s="43"/>
      <c r="N222" s="43"/>
      <c r="O222" s="43"/>
      <c r="P222" s="52"/>
      <c r="Q222" s="66"/>
    </row>
    <row r="223" spans="1:17" ht="26.4" x14ac:dyDescent="0.25">
      <c r="A223" s="42" t="s">
        <v>278</v>
      </c>
      <c r="B223" s="43">
        <v>18</v>
      </c>
      <c r="C223" s="33" t="s">
        <v>288</v>
      </c>
      <c r="D223" s="91" t="s">
        <v>289</v>
      </c>
      <c r="E223" s="33"/>
      <c r="F223" s="43" t="s">
        <v>8</v>
      </c>
      <c r="G223" s="62"/>
      <c r="H223" s="48"/>
      <c r="I223" s="62"/>
      <c r="J223" s="43"/>
      <c r="K223" s="43"/>
      <c r="L223" s="48"/>
      <c r="M223" s="43"/>
      <c r="N223" s="43"/>
      <c r="O223" s="43"/>
      <c r="P223" s="52"/>
      <c r="Q223" s="66"/>
    </row>
    <row r="224" spans="1:17" ht="52.8" x14ac:dyDescent="0.25">
      <c r="A224" s="42" t="s">
        <v>278</v>
      </c>
      <c r="B224" s="43">
        <v>19</v>
      </c>
      <c r="C224" s="33" t="s">
        <v>290</v>
      </c>
      <c r="D224" s="91" t="s">
        <v>291</v>
      </c>
      <c r="E224" s="65" t="s">
        <v>292</v>
      </c>
      <c r="F224" s="43" t="s">
        <v>4</v>
      </c>
      <c r="G224" s="50">
        <v>45820</v>
      </c>
      <c r="H224" s="48"/>
      <c r="I224" s="49" t="s">
        <v>68</v>
      </c>
      <c r="J224" s="43"/>
      <c r="K224" s="43"/>
      <c r="L224" s="48"/>
      <c r="M224" s="43"/>
      <c r="N224" s="43"/>
      <c r="O224" s="43"/>
      <c r="P224" s="52" t="s">
        <v>69</v>
      </c>
      <c r="Q224" s="51" t="s">
        <v>147</v>
      </c>
    </row>
    <row r="225" spans="1:17" ht="52.8" x14ac:dyDescent="0.25">
      <c r="A225" s="42" t="s">
        <v>278</v>
      </c>
      <c r="B225" s="43">
        <v>20</v>
      </c>
      <c r="C225" s="33" t="s">
        <v>290</v>
      </c>
      <c r="D225" s="91" t="s">
        <v>291</v>
      </c>
      <c r="E225" s="65" t="s">
        <v>292</v>
      </c>
      <c r="F225" s="43" t="s">
        <v>4</v>
      </c>
      <c r="G225" s="50">
        <v>45820</v>
      </c>
      <c r="H225" s="48"/>
      <c r="I225" s="49" t="s">
        <v>68</v>
      </c>
      <c r="J225" s="43"/>
      <c r="K225" s="43"/>
      <c r="L225" s="48"/>
      <c r="M225" s="43"/>
      <c r="N225" s="43"/>
      <c r="O225" s="43"/>
      <c r="P225" s="52" t="s">
        <v>69</v>
      </c>
      <c r="Q225" s="51" t="s">
        <v>147</v>
      </c>
    </row>
    <row r="226" spans="1:17" ht="52.8" x14ac:dyDescent="0.25">
      <c r="A226" s="42" t="s">
        <v>278</v>
      </c>
      <c r="B226" s="43">
        <v>21</v>
      </c>
      <c r="C226" s="33" t="s">
        <v>290</v>
      </c>
      <c r="D226" s="91" t="s">
        <v>291</v>
      </c>
      <c r="E226" s="65" t="s">
        <v>292</v>
      </c>
      <c r="F226" s="43" t="s">
        <v>4</v>
      </c>
      <c r="G226" s="50">
        <v>45820</v>
      </c>
      <c r="H226" s="48"/>
      <c r="I226" s="49" t="s">
        <v>68</v>
      </c>
      <c r="J226" s="43"/>
      <c r="K226" s="43"/>
      <c r="L226" s="48"/>
      <c r="M226" s="43"/>
      <c r="N226" s="43"/>
      <c r="O226" s="43"/>
      <c r="P226" s="52" t="s">
        <v>69</v>
      </c>
      <c r="Q226" s="51" t="s">
        <v>147</v>
      </c>
    </row>
    <row r="227" spans="1:17" ht="39.6" x14ac:dyDescent="0.25">
      <c r="A227" s="42" t="s">
        <v>293</v>
      </c>
      <c r="B227" s="55">
        <v>1</v>
      </c>
      <c r="C227" s="65" t="s">
        <v>294</v>
      </c>
      <c r="D227" s="90" t="s">
        <v>295</v>
      </c>
      <c r="E227" s="65"/>
      <c r="F227" s="43" t="s">
        <v>8</v>
      </c>
      <c r="G227" s="63"/>
      <c r="H227" s="48"/>
      <c r="I227" s="62"/>
      <c r="J227" s="43"/>
      <c r="K227" s="43"/>
      <c r="L227" s="48"/>
      <c r="M227" s="43"/>
      <c r="N227" s="43"/>
      <c r="O227" s="43"/>
      <c r="P227" s="52"/>
      <c r="Q227" s="66"/>
    </row>
    <row r="228" spans="1:17" ht="39.6" x14ac:dyDescent="0.25">
      <c r="A228" s="42" t="s">
        <v>293</v>
      </c>
      <c r="B228" s="43">
        <v>2</v>
      </c>
      <c r="C228" s="65" t="s">
        <v>294</v>
      </c>
      <c r="D228" s="90" t="s">
        <v>295</v>
      </c>
      <c r="E228" s="65"/>
      <c r="F228" s="43" t="s">
        <v>8</v>
      </c>
      <c r="G228" s="62"/>
      <c r="H228" s="48"/>
      <c r="I228" s="62"/>
      <c r="J228" s="43"/>
      <c r="K228" s="43"/>
      <c r="L228" s="48"/>
      <c r="M228" s="43"/>
      <c r="N228" s="43"/>
      <c r="O228" s="43"/>
      <c r="P228" s="52"/>
      <c r="Q228" s="66"/>
    </row>
    <row r="229" spans="1:17" ht="39.6" x14ac:dyDescent="0.25">
      <c r="A229" s="42" t="s">
        <v>293</v>
      </c>
      <c r="B229" s="43">
        <v>3</v>
      </c>
      <c r="C229" s="65" t="s">
        <v>294</v>
      </c>
      <c r="D229" s="90" t="s">
        <v>295</v>
      </c>
      <c r="E229" s="65"/>
      <c r="F229" s="43" t="s">
        <v>8</v>
      </c>
      <c r="G229" s="62"/>
      <c r="H229" s="48"/>
      <c r="I229" s="62"/>
      <c r="J229" s="43"/>
      <c r="K229" s="43"/>
      <c r="L229" s="48"/>
      <c r="M229" s="43"/>
      <c r="N229" s="43"/>
      <c r="O229" s="43"/>
      <c r="P229" s="52"/>
      <c r="Q229" s="66"/>
    </row>
    <row r="230" spans="1:17" ht="39.6" x14ac:dyDescent="0.25">
      <c r="A230" s="42" t="s">
        <v>293</v>
      </c>
      <c r="B230" s="55">
        <v>4</v>
      </c>
      <c r="C230" s="65" t="s">
        <v>296</v>
      </c>
      <c r="D230" s="90" t="s">
        <v>295</v>
      </c>
      <c r="E230" s="65"/>
      <c r="F230" s="43" t="s">
        <v>8</v>
      </c>
      <c r="G230" s="62"/>
      <c r="H230" s="48"/>
      <c r="I230" s="62"/>
      <c r="J230" s="43"/>
      <c r="K230" s="43"/>
      <c r="L230" s="48"/>
      <c r="M230" s="43"/>
      <c r="N230" s="43"/>
      <c r="O230" s="43"/>
      <c r="P230" s="52"/>
      <c r="Q230" s="66"/>
    </row>
    <row r="231" spans="1:17" ht="39.6" x14ac:dyDescent="0.25">
      <c r="A231" s="42" t="s">
        <v>293</v>
      </c>
      <c r="B231" s="43">
        <v>5</v>
      </c>
      <c r="C231" s="65" t="s">
        <v>296</v>
      </c>
      <c r="D231" s="90" t="s">
        <v>295</v>
      </c>
      <c r="E231" s="65"/>
      <c r="F231" s="43" t="s">
        <v>8</v>
      </c>
      <c r="G231" s="62"/>
      <c r="H231" s="48"/>
      <c r="I231" s="62"/>
      <c r="J231" s="43"/>
      <c r="K231" s="43"/>
      <c r="L231" s="48"/>
      <c r="M231" s="43"/>
      <c r="N231" s="43"/>
      <c r="O231" s="43"/>
      <c r="P231" s="52"/>
      <c r="Q231" s="66"/>
    </row>
    <row r="232" spans="1:17" ht="39.6" x14ac:dyDescent="0.25">
      <c r="A232" s="42" t="s">
        <v>293</v>
      </c>
      <c r="B232" s="43">
        <v>6</v>
      </c>
      <c r="C232" s="65" t="s">
        <v>296</v>
      </c>
      <c r="D232" s="90" t="s">
        <v>295</v>
      </c>
      <c r="E232" s="65"/>
      <c r="F232" s="43" t="s">
        <v>8</v>
      </c>
      <c r="G232" s="62"/>
      <c r="H232" s="48"/>
      <c r="I232" s="62"/>
      <c r="J232" s="43"/>
      <c r="K232" s="43"/>
      <c r="L232" s="48"/>
      <c r="M232" s="43"/>
      <c r="N232" s="43"/>
      <c r="O232" s="43"/>
      <c r="P232" s="52"/>
      <c r="Q232" s="66"/>
    </row>
    <row r="233" spans="1:17" ht="39.6" x14ac:dyDescent="0.25">
      <c r="A233" s="42" t="s">
        <v>293</v>
      </c>
      <c r="B233" s="55">
        <v>7</v>
      </c>
      <c r="C233" s="65" t="s">
        <v>297</v>
      </c>
      <c r="D233" s="90" t="s">
        <v>295</v>
      </c>
      <c r="E233" s="65"/>
      <c r="F233" s="43" t="s">
        <v>8</v>
      </c>
      <c r="G233" s="62"/>
      <c r="H233" s="48"/>
      <c r="I233" s="62"/>
      <c r="J233" s="43"/>
      <c r="K233" s="43"/>
      <c r="L233" s="48"/>
      <c r="M233" s="43"/>
      <c r="N233" s="43"/>
      <c r="O233" s="43"/>
      <c r="P233" s="52"/>
      <c r="Q233" s="66"/>
    </row>
    <row r="234" spans="1:17" ht="39.6" x14ac:dyDescent="0.25">
      <c r="A234" s="42" t="s">
        <v>293</v>
      </c>
      <c r="B234" s="43">
        <v>8</v>
      </c>
      <c r="C234" s="65" t="s">
        <v>297</v>
      </c>
      <c r="D234" s="90" t="s">
        <v>295</v>
      </c>
      <c r="E234" s="65"/>
      <c r="F234" s="43" t="s">
        <v>8</v>
      </c>
      <c r="G234" s="62"/>
      <c r="H234" s="48"/>
      <c r="I234" s="62"/>
      <c r="J234" s="43"/>
      <c r="K234" s="43"/>
      <c r="L234" s="48"/>
      <c r="M234" s="43"/>
      <c r="N234" s="43"/>
      <c r="O234" s="43"/>
      <c r="P234" s="52"/>
      <c r="Q234" s="66"/>
    </row>
    <row r="235" spans="1:17" ht="39.6" x14ac:dyDescent="0.25">
      <c r="A235" s="42" t="s">
        <v>293</v>
      </c>
      <c r="B235" s="43">
        <v>9</v>
      </c>
      <c r="C235" s="65" t="s">
        <v>297</v>
      </c>
      <c r="D235" s="90" t="s">
        <v>295</v>
      </c>
      <c r="E235" s="65"/>
      <c r="F235" s="43" t="s">
        <v>8</v>
      </c>
      <c r="G235" s="62"/>
      <c r="H235" s="48"/>
      <c r="I235" s="62"/>
      <c r="J235" s="43"/>
      <c r="K235" s="43"/>
      <c r="L235" s="48"/>
      <c r="M235" s="43"/>
      <c r="N235" s="43"/>
      <c r="O235" s="43"/>
      <c r="P235" s="52"/>
      <c r="Q235" s="66"/>
    </row>
    <row r="236" spans="1:17" ht="39.6" x14ac:dyDescent="0.25">
      <c r="A236" s="42" t="s">
        <v>293</v>
      </c>
      <c r="B236" s="55">
        <v>10</v>
      </c>
      <c r="C236" s="65" t="s">
        <v>298</v>
      </c>
      <c r="D236" s="90" t="s">
        <v>295</v>
      </c>
      <c r="E236" s="65"/>
      <c r="F236" s="43" t="s">
        <v>8</v>
      </c>
      <c r="G236" s="62"/>
      <c r="H236" s="48"/>
      <c r="I236" s="62"/>
      <c r="J236" s="43"/>
      <c r="K236" s="43"/>
      <c r="L236" s="48"/>
      <c r="M236" s="43"/>
      <c r="N236" s="43"/>
      <c r="O236" s="43"/>
      <c r="P236" s="52"/>
      <c r="Q236" s="66"/>
    </row>
    <row r="237" spans="1:17" ht="39.6" x14ac:dyDescent="0.25">
      <c r="A237" s="42" t="s">
        <v>293</v>
      </c>
      <c r="B237" s="43">
        <v>11</v>
      </c>
      <c r="C237" s="65" t="s">
        <v>298</v>
      </c>
      <c r="D237" s="90" t="s">
        <v>295</v>
      </c>
      <c r="E237" s="65"/>
      <c r="F237" s="43" t="s">
        <v>8</v>
      </c>
      <c r="G237" s="62"/>
      <c r="H237" s="48"/>
      <c r="I237" s="62"/>
      <c r="J237" s="43"/>
      <c r="K237" s="43"/>
      <c r="L237" s="48"/>
      <c r="M237" s="43"/>
      <c r="N237" s="43"/>
      <c r="O237" s="43"/>
      <c r="P237" s="52"/>
      <c r="Q237" s="66"/>
    </row>
    <row r="238" spans="1:17" ht="39.6" x14ac:dyDescent="0.25">
      <c r="A238" s="42" t="s">
        <v>293</v>
      </c>
      <c r="B238" s="43">
        <v>12</v>
      </c>
      <c r="C238" s="65" t="s">
        <v>298</v>
      </c>
      <c r="D238" s="90" t="s">
        <v>295</v>
      </c>
      <c r="E238" s="65"/>
      <c r="F238" s="43" t="s">
        <v>8</v>
      </c>
      <c r="G238" s="62"/>
      <c r="H238" s="48"/>
      <c r="I238" s="62"/>
      <c r="J238" s="43"/>
      <c r="K238" s="43"/>
      <c r="L238" s="48"/>
      <c r="M238" s="43"/>
      <c r="N238" s="43"/>
      <c r="O238" s="43"/>
      <c r="P238" s="52"/>
      <c r="Q238" s="66"/>
    </row>
    <row r="239" spans="1:17" ht="39.6" x14ac:dyDescent="0.25">
      <c r="A239" s="42" t="s">
        <v>299</v>
      </c>
      <c r="B239" s="55">
        <v>1</v>
      </c>
      <c r="C239" s="56" t="s">
        <v>300</v>
      </c>
      <c r="D239" s="85" t="s">
        <v>301</v>
      </c>
      <c r="E239" s="45" t="s">
        <v>302</v>
      </c>
      <c r="F239" s="43" t="s">
        <v>4</v>
      </c>
      <c r="G239" s="50">
        <v>45753</v>
      </c>
      <c r="H239" s="48" t="s">
        <v>303</v>
      </c>
      <c r="I239" s="55" t="s">
        <v>0</v>
      </c>
      <c r="J239" s="43"/>
      <c r="K239" s="43"/>
      <c r="L239" s="48"/>
      <c r="M239" s="43"/>
      <c r="N239" s="43"/>
      <c r="O239" s="43"/>
      <c r="P239" s="52" t="s">
        <v>69</v>
      </c>
      <c r="Q239" s="70" t="s">
        <v>304</v>
      </c>
    </row>
    <row r="240" spans="1:17" ht="39.6" x14ac:dyDescent="0.25">
      <c r="A240" s="42" t="s">
        <v>299</v>
      </c>
      <c r="B240" s="43">
        <v>2</v>
      </c>
      <c r="C240" s="56" t="s">
        <v>300</v>
      </c>
      <c r="D240" s="85" t="s">
        <v>301</v>
      </c>
      <c r="E240" s="45" t="s">
        <v>305</v>
      </c>
      <c r="F240" s="43" t="s">
        <v>4</v>
      </c>
      <c r="G240" s="50">
        <v>45753</v>
      </c>
      <c r="H240" s="48" t="s">
        <v>306</v>
      </c>
      <c r="I240" s="55" t="s">
        <v>0</v>
      </c>
      <c r="J240" s="43"/>
      <c r="K240" s="43"/>
      <c r="L240" s="48"/>
      <c r="M240" s="43"/>
      <c r="N240" s="43"/>
      <c r="O240" s="43"/>
      <c r="P240" s="52" t="s">
        <v>69</v>
      </c>
      <c r="Q240" s="70" t="s">
        <v>304</v>
      </c>
    </row>
    <row r="241" spans="1:17" ht="39.6" x14ac:dyDescent="0.25">
      <c r="A241" s="42" t="s">
        <v>299</v>
      </c>
      <c r="B241" s="43">
        <v>3</v>
      </c>
      <c r="C241" s="56" t="s">
        <v>300</v>
      </c>
      <c r="D241" s="85" t="s">
        <v>301</v>
      </c>
      <c r="E241" s="45" t="s">
        <v>307</v>
      </c>
      <c r="F241" s="43" t="s">
        <v>4</v>
      </c>
      <c r="G241" s="50">
        <v>45753</v>
      </c>
      <c r="H241" s="48" t="s">
        <v>308</v>
      </c>
      <c r="I241" s="55" t="s">
        <v>0</v>
      </c>
      <c r="J241" s="43"/>
      <c r="K241" s="43"/>
      <c r="L241" s="48"/>
      <c r="M241" s="43"/>
      <c r="N241" s="43"/>
      <c r="O241" s="43"/>
      <c r="P241" s="52" t="s">
        <v>69</v>
      </c>
      <c r="Q241" s="70" t="s">
        <v>304</v>
      </c>
    </row>
    <row r="242" spans="1:17" ht="39.6" x14ac:dyDescent="0.25">
      <c r="A242" s="42" t="s">
        <v>299</v>
      </c>
      <c r="B242" s="43">
        <v>4</v>
      </c>
      <c r="C242" s="56" t="s">
        <v>309</v>
      </c>
      <c r="D242" s="85" t="s">
        <v>301</v>
      </c>
      <c r="E242" s="45"/>
      <c r="F242" s="43" t="s">
        <v>8</v>
      </c>
      <c r="G242" s="102"/>
      <c r="H242" s="48"/>
      <c r="I242" s="55"/>
      <c r="J242" s="43"/>
      <c r="K242" s="43"/>
      <c r="L242" s="48"/>
      <c r="M242" s="43"/>
      <c r="N242" s="43"/>
      <c r="O242" s="43"/>
      <c r="P242" s="52"/>
      <c r="Q242" s="70"/>
    </row>
    <row r="243" spans="1:17" ht="39.6" x14ac:dyDescent="0.25">
      <c r="A243" s="42" t="s">
        <v>299</v>
      </c>
      <c r="B243" s="43">
        <v>5</v>
      </c>
      <c r="C243" s="56" t="s">
        <v>309</v>
      </c>
      <c r="D243" s="85" t="s">
        <v>301</v>
      </c>
      <c r="E243" s="45"/>
      <c r="F243" s="43" t="s">
        <v>8</v>
      </c>
      <c r="G243" s="102"/>
      <c r="H243" s="48"/>
      <c r="I243" s="55"/>
      <c r="J243" s="43"/>
      <c r="K243" s="43"/>
      <c r="L243" s="48"/>
      <c r="M243" s="43"/>
      <c r="N243" s="43"/>
      <c r="O243" s="43"/>
      <c r="P243" s="52"/>
      <c r="Q243" s="70"/>
    </row>
    <row r="244" spans="1:17" ht="39.6" x14ac:dyDescent="0.25">
      <c r="A244" s="42" t="s">
        <v>299</v>
      </c>
      <c r="B244" s="43">
        <v>6</v>
      </c>
      <c r="C244" s="56" t="s">
        <v>309</v>
      </c>
      <c r="D244" s="85" t="s">
        <v>301</v>
      </c>
      <c r="E244" s="45"/>
      <c r="F244" s="43" t="s">
        <v>8</v>
      </c>
      <c r="G244" s="102"/>
      <c r="H244" s="48"/>
      <c r="I244" s="55"/>
      <c r="J244" s="43"/>
      <c r="K244" s="43"/>
      <c r="L244" s="48"/>
      <c r="M244" s="43"/>
      <c r="N244" s="43"/>
      <c r="O244" s="43"/>
      <c r="P244" s="52"/>
      <c r="Q244" s="70"/>
    </row>
    <row r="245" spans="1:17" ht="39.6" x14ac:dyDescent="0.25">
      <c r="A245" s="42" t="s">
        <v>299</v>
      </c>
      <c r="B245" s="43">
        <v>7</v>
      </c>
      <c r="C245" s="56" t="s">
        <v>310</v>
      </c>
      <c r="D245" s="85" t="s">
        <v>301</v>
      </c>
      <c r="E245" s="45"/>
      <c r="F245" s="43" t="s">
        <v>8</v>
      </c>
      <c r="G245" s="102"/>
      <c r="H245" s="48"/>
      <c r="I245" s="55"/>
      <c r="J245" s="43"/>
      <c r="K245" s="43"/>
      <c r="L245" s="48"/>
      <c r="M245" s="43"/>
      <c r="N245" s="43"/>
      <c r="O245" s="43"/>
      <c r="P245" s="52"/>
      <c r="Q245" s="70"/>
    </row>
    <row r="246" spans="1:17" ht="39.6" x14ac:dyDescent="0.25">
      <c r="A246" s="42" t="s">
        <v>299</v>
      </c>
      <c r="B246" s="43">
        <v>8</v>
      </c>
      <c r="C246" s="56" t="s">
        <v>310</v>
      </c>
      <c r="D246" s="85" t="s">
        <v>301</v>
      </c>
      <c r="E246" s="45"/>
      <c r="F246" s="43" t="s">
        <v>8</v>
      </c>
      <c r="G246" s="102"/>
      <c r="H246" s="48"/>
      <c r="I246" s="55"/>
      <c r="J246" s="43"/>
      <c r="K246" s="43"/>
      <c r="L246" s="48"/>
      <c r="M246" s="43"/>
      <c r="N246" s="43"/>
      <c r="O246" s="43"/>
      <c r="P246" s="52"/>
      <c r="Q246" s="70"/>
    </row>
    <row r="247" spans="1:17" ht="39.6" x14ac:dyDescent="0.25">
      <c r="A247" s="42" t="s">
        <v>299</v>
      </c>
      <c r="B247" s="43">
        <v>9</v>
      </c>
      <c r="C247" s="56" t="s">
        <v>310</v>
      </c>
      <c r="D247" s="85" t="s">
        <v>301</v>
      </c>
      <c r="E247" s="45"/>
      <c r="F247" s="43" t="s">
        <v>8</v>
      </c>
      <c r="G247" s="102"/>
      <c r="H247" s="48"/>
      <c r="I247" s="55"/>
      <c r="J247" s="43"/>
      <c r="K247" s="43"/>
      <c r="L247" s="48"/>
      <c r="M247" s="43"/>
      <c r="N247" s="43"/>
      <c r="O247" s="43"/>
      <c r="P247" s="52"/>
      <c r="Q247" s="70"/>
    </row>
    <row r="248" spans="1:17" ht="39.6" x14ac:dyDescent="0.25">
      <c r="A248" s="42" t="s">
        <v>299</v>
      </c>
      <c r="B248" s="43">
        <v>10</v>
      </c>
      <c r="C248" s="56" t="s">
        <v>311</v>
      </c>
      <c r="D248" s="85" t="s">
        <v>301</v>
      </c>
      <c r="E248" s="45"/>
      <c r="F248" s="43" t="s">
        <v>8</v>
      </c>
      <c r="G248" s="102"/>
      <c r="H248" s="48"/>
      <c r="I248" s="55"/>
      <c r="J248" s="43"/>
      <c r="K248" s="43"/>
      <c r="L248" s="48"/>
      <c r="M248" s="43"/>
      <c r="N248" s="43"/>
      <c r="O248" s="43"/>
      <c r="P248" s="52"/>
      <c r="Q248" s="70"/>
    </row>
    <row r="249" spans="1:17" ht="39.6" x14ac:dyDescent="0.25">
      <c r="A249" s="42" t="s">
        <v>299</v>
      </c>
      <c r="B249" s="43">
        <v>11</v>
      </c>
      <c r="C249" s="56" t="s">
        <v>311</v>
      </c>
      <c r="D249" s="85" t="s">
        <v>301</v>
      </c>
      <c r="E249" s="45"/>
      <c r="F249" s="43" t="s">
        <v>8</v>
      </c>
      <c r="G249" s="102"/>
      <c r="H249" s="48"/>
      <c r="I249" s="55"/>
      <c r="J249" s="43"/>
      <c r="K249" s="43"/>
      <c r="L249" s="48"/>
      <c r="M249" s="43"/>
      <c r="N249" s="43"/>
      <c r="O249" s="43"/>
      <c r="P249" s="52"/>
      <c r="Q249" s="70"/>
    </row>
    <row r="250" spans="1:17" ht="39.6" x14ac:dyDescent="0.25">
      <c r="A250" s="42" t="s">
        <v>299</v>
      </c>
      <c r="B250" s="43">
        <v>12</v>
      </c>
      <c r="C250" s="56" t="s">
        <v>311</v>
      </c>
      <c r="D250" s="85" t="s">
        <v>301</v>
      </c>
      <c r="E250" s="45"/>
      <c r="F250" s="43" t="s">
        <v>8</v>
      </c>
      <c r="G250" s="102"/>
      <c r="H250" s="48"/>
      <c r="I250" s="55"/>
      <c r="J250" s="43"/>
      <c r="K250" s="43"/>
      <c r="L250" s="48"/>
      <c r="M250" s="43"/>
      <c r="N250" s="43"/>
      <c r="O250" s="43"/>
      <c r="P250" s="52"/>
      <c r="Q250" s="70"/>
    </row>
    <row r="251" spans="1:17" ht="39.6" x14ac:dyDescent="0.25">
      <c r="A251" s="42" t="s">
        <v>299</v>
      </c>
      <c r="B251" s="43">
        <v>13</v>
      </c>
      <c r="C251" s="56" t="s">
        <v>312</v>
      </c>
      <c r="D251" s="85" t="s">
        <v>301</v>
      </c>
      <c r="E251" s="45"/>
      <c r="F251" s="43" t="s">
        <v>8</v>
      </c>
      <c r="G251" s="102"/>
      <c r="H251" s="48"/>
      <c r="I251" s="43"/>
      <c r="J251" s="43"/>
      <c r="K251" s="43"/>
      <c r="L251" s="48"/>
      <c r="M251" s="43"/>
      <c r="N251" s="43"/>
      <c r="O251" s="43"/>
      <c r="P251" s="52"/>
      <c r="Q251" s="66"/>
    </row>
    <row r="252" spans="1:17" ht="39.6" x14ac:dyDescent="0.25">
      <c r="A252" s="42" t="s">
        <v>299</v>
      </c>
      <c r="B252" s="43">
        <v>14</v>
      </c>
      <c r="C252" s="56" t="s">
        <v>312</v>
      </c>
      <c r="D252" s="85" t="s">
        <v>301</v>
      </c>
      <c r="E252" s="45"/>
      <c r="F252" s="43" t="s">
        <v>8</v>
      </c>
      <c r="G252" s="102"/>
      <c r="H252" s="48"/>
      <c r="I252" s="43"/>
      <c r="J252" s="43"/>
      <c r="K252" s="43"/>
      <c r="L252" s="48"/>
      <c r="M252" s="43"/>
      <c r="N252" s="43"/>
      <c r="O252" s="43"/>
      <c r="P252" s="52"/>
      <c r="Q252" s="66"/>
    </row>
    <row r="253" spans="1:17" ht="39.6" x14ac:dyDescent="0.25">
      <c r="A253" s="42" t="s">
        <v>299</v>
      </c>
      <c r="B253" s="43">
        <v>15</v>
      </c>
      <c r="C253" s="56" t="s">
        <v>312</v>
      </c>
      <c r="D253" s="85" t="s">
        <v>301</v>
      </c>
      <c r="E253" s="45"/>
      <c r="F253" s="43" t="s">
        <v>8</v>
      </c>
      <c r="G253" s="102"/>
      <c r="H253" s="48"/>
      <c r="I253" s="43"/>
      <c r="J253" s="43"/>
      <c r="K253" s="43"/>
      <c r="L253" s="48"/>
      <c r="M253" s="43"/>
      <c r="N253" s="43"/>
      <c r="O253" s="43"/>
      <c r="P253" s="52"/>
      <c r="Q253" s="66"/>
    </row>
    <row r="254" spans="1:17" ht="66" x14ac:dyDescent="0.25">
      <c r="A254" s="42" t="s">
        <v>313</v>
      </c>
      <c r="B254" s="62">
        <v>1</v>
      </c>
      <c r="C254" s="58" t="s">
        <v>314</v>
      </c>
      <c r="D254" s="87" t="s">
        <v>315</v>
      </c>
      <c r="E254" s="58" t="s">
        <v>316</v>
      </c>
      <c r="F254" s="43" t="s">
        <v>4</v>
      </c>
      <c r="G254" s="63">
        <v>45753</v>
      </c>
      <c r="H254" s="48" t="s">
        <v>317</v>
      </c>
      <c r="I254" s="62" t="s">
        <v>0</v>
      </c>
      <c r="J254" s="43"/>
      <c r="K254" s="43"/>
      <c r="L254" s="48"/>
      <c r="M254" s="43"/>
      <c r="N254" s="43"/>
      <c r="O254" s="43"/>
      <c r="P254" s="52" t="s">
        <v>69</v>
      </c>
      <c r="Q254" s="70" t="s">
        <v>304</v>
      </c>
    </row>
    <row r="255" spans="1:17" ht="66" x14ac:dyDescent="0.25">
      <c r="A255" s="42" t="s">
        <v>313</v>
      </c>
      <c r="B255" s="62">
        <v>2</v>
      </c>
      <c r="C255" s="58" t="s">
        <v>314</v>
      </c>
      <c r="D255" s="87" t="s">
        <v>315</v>
      </c>
      <c r="E255" s="58" t="s">
        <v>316</v>
      </c>
      <c r="F255" s="43" t="s">
        <v>4</v>
      </c>
      <c r="G255" s="63">
        <v>45753</v>
      </c>
      <c r="H255" s="48" t="s">
        <v>318</v>
      </c>
      <c r="I255" s="62" t="s">
        <v>0</v>
      </c>
      <c r="J255" s="43"/>
      <c r="K255" s="43"/>
      <c r="L255" s="48"/>
      <c r="M255" s="43"/>
      <c r="N255" s="43"/>
      <c r="O255" s="43"/>
      <c r="P255" s="52" t="s">
        <v>69</v>
      </c>
      <c r="Q255" s="70" t="s">
        <v>304</v>
      </c>
    </row>
    <row r="256" spans="1:17" ht="66" x14ac:dyDescent="0.25">
      <c r="A256" s="42" t="s">
        <v>313</v>
      </c>
      <c r="B256" s="62">
        <v>3</v>
      </c>
      <c r="C256" s="58" t="s">
        <v>314</v>
      </c>
      <c r="D256" s="87" t="s">
        <v>315</v>
      </c>
      <c r="E256" s="58" t="s">
        <v>316</v>
      </c>
      <c r="F256" s="43" t="s">
        <v>4</v>
      </c>
      <c r="G256" s="63">
        <v>45753</v>
      </c>
      <c r="H256" s="48" t="s">
        <v>319</v>
      </c>
      <c r="I256" s="62" t="s">
        <v>0</v>
      </c>
      <c r="J256" s="43"/>
      <c r="K256" s="43"/>
      <c r="L256" s="48"/>
      <c r="M256" s="43"/>
      <c r="N256" s="43"/>
      <c r="O256" s="43"/>
      <c r="P256" s="52" t="s">
        <v>69</v>
      </c>
      <c r="Q256" s="70" t="s">
        <v>304</v>
      </c>
    </row>
    <row r="257" spans="1:17" ht="66" x14ac:dyDescent="0.25">
      <c r="A257" s="42" t="s">
        <v>313</v>
      </c>
      <c r="B257" s="62">
        <v>4</v>
      </c>
      <c r="C257" s="58" t="s">
        <v>320</v>
      </c>
      <c r="D257" s="87" t="s">
        <v>315</v>
      </c>
      <c r="E257" s="58" t="s">
        <v>316</v>
      </c>
      <c r="F257" s="43" t="s">
        <v>4</v>
      </c>
      <c r="G257" s="63">
        <v>45753</v>
      </c>
      <c r="H257" s="48" t="s">
        <v>321</v>
      </c>
      <c r="I257" s="62" t="s">
        <v>0</v>
      </c>
      <c r="J257" s="43"/>
      <c r="K257" s="43"/>
      <c r="L257" s="48"/>
      <c r="M257" s="43"/>
      <c r="N257" s="43"/>
      <c r="O257" s="43"/>
      <c r="P257" s="52" t="s">
        <v>69</v>
      </c>
      <c r="Q257" s="70" t="s">
        <v>304</v>
      </c>
    </row>
    <row r="258" spans="1:17" ht="66" x14ac:dyDescent="0.25">
      <c r="A258" s="42" t="s">
        <v>313</v>
      </c>
      <c r="B258" s="62">
        <v>5</v>
      </c>
      <c r="C258" s="58" t="s">
        <v>320</v>
      </c>
      <c r="D258" s="87" t="s">
        <v>315</v>
      </c>
      <c r="E258" s="58" t="s">
        <v>316</v>
      </c>
      <c r="F258" s="43" t="s">
        <v>4</v>
      </c>
      <c r="G258" s="63">
        <v>45753</v>
      </c>
      <c r="H258" s="48" t="s">
        <v>322</v>
      </c>
      <c r="I258" s="62" t="s">
        <v>0</v>
      </c>
      <c r="J258" s="43"/>
      <c r="K258" s="43"/>
      <c r="L258" s="48"/>
      <c r="M258" s="43"/>
      <c r="N258" s="43"/>
      <c r="O258" s="43"/>
      <c r="P258" s="52" t="s">
        <v>69</v>
      </c>
      <c r="Q258" s="70" t="s">
        <v>304</v>
      </c>
    </row>
    <row r="259" spans="1:17" ht="79.2" x14ac:dyDescent="0.25">
      <c r="A259" s="42" t="s">
        <v>313</v>
      </c>
      <c r="B259" s="62">
        <v>6</v>
      </c>
      <c r="C259" s="58" t="s">
        <v>320</v>
      </c>
      <c r="D259" s="87" t="s">
        <v>315</v>
      </c>
      <c r="E259" s="58" t="s">
        <v>323</v>
      </c>
      <c r="F259" s="43" t="s">
        <v>5</v>
      </c>
      <c r="G259" s="63">
        <v>45753</v>
      </c>
      <c r="H259" s="48" t="s">
        <v>324</v>
      </c>
      <c r="I259" s="62" t="s">
        <v>0</v>
      </c>
      <c r="J259" s="58" t="s">
        <v>325</v>
      </c>
      <c r="K259" s="43" t="s">
        <v>4</v>
      </c>
      <c r="L259" s="48" t="s">
        <v>326</v>
      </c>
      <c r="M259" s="58" t="s">
        <v>327</v>
      </c>
      <c r="N259" s="43" t="s">
        <v>46</v>
      </c>
      <c r="O259" s="71">
        <v>15331</v>
      </c>
      <c r="P259" s="52" t="s">
        <v>69</v>
      </c>
      <c r="Q259" s="70" t="s">
        <v>304</v>
      </c>
    </row>
    <row r="260" spans="1:17" ht="39.6" x14ac:dyDescent="0.25">
      <c r="A260" s="42" t="s">
        <v>328</v>
      </c>
      <c r="B260" s="43">
        <v>1</v>
      </c>
      <c r="C260" s="58" t="s">
        <v>329</v>
      </c>
      <c r="D260" s="87" t="s">
        <v>330</v>
      </c>
      <c r="E260" s="72"/>
      <c r="F260" s="43" t="s">
        <v>8</v>
      </c>
      <c r="G260" s="74"/>
      <c r="H260" s="73"/>
      <c r="I260" s="73"/>
      <c r="J260" s="43"/>
      <c r="K260" s="43"/>
      <c r="L260" s="48"/>
      <c r="M260" s="43"/>
      <c r="N260" s="43"/>
      <c r="O260" s="43"/>
      <c r="P260" s="52"/>
      <c r="Q260" s="75"/>
    </row>
    <row r="261" spans="1:17" ht="39.6" x14ac:dyDescent="0.25">
      <c r="A261" s="42" t="s">
        <v>328</v>
      </c>
      <c r="B261" s="43">
        <v>2</v>
      </c>
      <c r="C261" s="58" t="s">
        <v>329</v>
      </c>
      <c r="D261" s="87" t="s">
        <v>330</v>
      </c>
      <c r="E261" s="72"/>
      <c r="F261" s="43" t="s">
        <v>8</v>
      </c>
      <c r="G261" s="74"/>
      <c r="H261" s="73"/>
      <c r="I261" s="73"/>
      <c r="J261" s="43"/>
      <c r="K261" s="43"/>
      <c r="L261" s="48"/>
      <c r="M261" s="43"/>
      <c r="N261" s="43"/>
      <c r="O261" s="43"/>
      <c r="P261" s="52"/>
      <c r="Q261" s="75"/>
    </row>
    <row r="262" spans="1:17" ht="39.6" x14ac:dyDescent="0.25">
      <c r="A262" s="42" t="s">
        <v>328</v>
      </c>
      <c r="B262" s="43">
        <v>3</v>
      </c>
      <c r="C262" s="58" t="s">
        <v>329</v>
      </c>
      <c r="D262" s="87" t="s">
        <v>330</v>
      </c>
      <c r="E262" s="72"/>
      <c r="F262" s="43" t="s">
        <v>8</v>
      </c>
      <c r="G262" s="74"/>
      <c r="H262" s="73"/>
      <c r="I262" s="73"/>
      <c r="J262" s="43"/>
      <c r="K262" s="43"/>
      <c r="L262" s="48"/>
      <c r="M262" s="43"/>
      <c r="N262" s="43"/>
      <c r="O262" s="43"/>
      <c r="P262" s="52"/>
      <c r="Q262" s="75"/>
    </row>
    <row r="263" spans="1:17" ht="39.6" x14ac:dyDescent="0.25">
      <c r="A263" s="42" t="s">
        <v>328</v>
      </c>
      <c r="B263" s="43">
        <v>4</v>
      </c>
      <c r="C263" s="58" t="s">
        <v>329</v>
      </c>
      <c r="D263" s="87" t="s">
        <v>330</v>
      </c>
      <c r="E263" s="72"/>
      <c r="F263" s="43" t="s">
        <v>8</v>
      </c>
      <c r="G263" s="74"/>
      <c r="H263" s="73"/>
      <c r="I263" s="73"/>
      <c r="J263" s="43"/>
      <c r="K263" s="43"/>
      <c r="L263" s="48"/>
      <c r="M263" s="43"/>
      <c r="N263" s="43"/>
      <c r="O263" s="43"/>
      <c r="P263" s="52"/>
      <c r="Q263" s="75"/>
    </row>
    <row r="264" spans="1:17" ht="39.6" x14ac:dyDescent="0.25">
      <c r="A264" s="42" t="s">
        <v>328</v>
      </c>
      <c r="B264" s="43">
        <v>5</v>
      </c>
      <c r="C264" s="58" t="s">
        <v>329</v>
      </c>
      <c r="D264" s="87" t="s">
        <v>330</v>
      </c>
      <c r="E264" s="58"/>
      <c r="F264" s="43" t="s">
        <v>8</v>
      </c>
      <c r="G264" s="43"/>
      <c r="H264" s="76"/>
      <c r="I264" s="43"/>
      <c r="J264" s="43"/>
      <c r="K264" s="43"/>
      <c r="L264" s="48"/>
      <c r="M264" s="43"/>
      <c r="N264" s="43"/>
      <c r="O264" s="43"/>
      <c r="P264" s="52"/>
      <c r="Q264" s="70"/>
    </row>
    <row r="265" spans="1:17" ht="39.6" x14ac:dyDescent="0.25">
      <c r="A265" s="42" t="s">
        <v>328</v>
      </c>
      <c r="B265" s="43">
        <v>6</v>
      </c>
      <c r="C265" s="58" t="s">
        <v>329</v>
      </c>
      <c r="D265" s="87" t="s">
        <v>330</v>
      </c>
      <c r="E265" s="58"/>
      <c r="F265" s="43" t="s">
        <v>8</v>
      </c>
      <c r="G265" s="43"/>
      <c r="H265" s="76"/>
      <c r="I265" s="43"/>
      <c r="J265" s="43"/>
      <c r="K265" s="43"/>
      <c r="L265" s="48"/>
      <c r="M265" s="43"/>
      <c r="N265" s="43"/>
      <c r="O265" s="43"/>
      <c r="P265" s="52"/>
      <c r="Q265" s="70"/>
    </row>
    <row r="266" spans="1:17" ht="39.6" x14ac:dyDescent="0.25">
      <c r="A266" s="42" t="s">
        <v>328</v>
      </c>
      <c r="B266" s="43">
        <v>7</v>
      </c>
      <c r="C266" s="58" t="s">
        <v>329</v>
      </c>
      <c r="D266" s="87" t="s">
        <v>330</v>
      </c>
      <c r="E266" s="58"/>
      <c r="F266" s="43" t="s">
        <v>8</v>
      </c>
      <c r="G266" s="43"/>
      <c r="H266" s="76"/>
      <c r="I266" s="43"/>
      <c r="J266" s="43"/>
      <c r="K266" s="43"/>
      <c r="L266" s="48"/>
      <c r="M266" s="43"/>
      <c r="N266" s="43"/>
      <c r="O266" s="43"/>
      <c r="P266" s="52"/>
      <c r="Q266" s="70"/>
    </row>
    <row r="267" spans="1:17" ht="39.6" x14ac:dyDescent="0.25">
      <c r="A267" s="42" t="s">
        <v>328</v>
      </c>
      <c r="B267" s="43">
        <v>8</v>
      </c>
      <c r="C267" s="58" t="s">
        <v>329</v>
      </c>
      <c r="D267" s="87" t="s">
        <v>330</v>
      </c>
      <c r="E267" s="58"/>
      <c r="F267" s="43" t="s">
        <v>8</v>
      </c>
      <c r="G267" s="43"/>
      <c r="H267" s="76"/>
      <c r="I267" s="43"/>
      <c r="J267" s="43"/>
      <c r="K267" s="43"/>
      <c r="L267" s="48"/>
      <c r="M267" s="43"/>
      <c r="N267" s="43"/>
      <c r="O267" s="43"/>
      <c r="P267" s="52"/>
      <c r="Q267" s="70"/>
    </row>
    <row r="268" spans="1:17" ht="39.6" x14ac:dyDescent="0.25">
      <c r="A268" s="42" t="s">
        <v>328</v>
      </c>
      <c r="B268" s="43">
        <v>9</v>
      </c>
      <c r="C268" s="58" t="s">
        <v>329</v>
      </c>
      <c r="D268" s="87" t="s">
        <v>330</v>
      </c>
      <c r="E268" s="58"/>
      <c r="F268" s="43" t="s">
        <v>8</v>
      </c>
      <c r="G268" s="62"/>
      <c r="H268" s="76"/>
      <c r="I268" s="43"/>
      <c r="J268" s="43"/>
      <c r="K268" s="43"/>
      <c r="L268" s="48"/>
      <c r="M268" s="43"/>
      <c r="N268" s="43"/>
      <c r="O268" s="43"/>
      <c r="P268" s="52"/>
      <c r="Q268" s="66"/>
    </row>
    <row r="269" spans="1:17" ht="39.6" x14ac:dyDescent="0.25">
      <c r="A269" s="42" t="s">
        <v>328</v>
      </c>
      <c r="B269" s="43">
        <v>10</v>
      </c>
      <c r="C269" s="58" t="s">
        <v>329</v>
      </c>
      <c r="D269" s="87" t="s">
        <v>330</v>
      </c>
      <c r="E269" s="58"/>
      <c r="F269" s="43" t="s">
        <v>8</v>
      </c>
      <c r="G269" s="62"/>
      <c r="H269" s="76"/>
      <c r="I269" s="43"/>
      <c r="J269" s="43"/>
      <c r="K269" s="43"/>
      <c r="L269" s="48"/>
      <c r="M269" s="43"/>
      <c r="N269" s="43"/>
      <c r="O269" s="43"/>
      <c r="P269" s="52"/>
      <c r="Q269" s="66"/>
    </row>
    <row r="270" spans="1:17" ht="39.6" x14ac:dyDescent="0.25">
      <c r="A270" s="42" t="s">
        <v>328</v>
      </c>
      <c r="B270" s="43">
        <v>11</v>
      </c>
      <c r="C270" s="58" t="s">
        <v>329</v>
      </c>
      <c r="D270" s="87" t="s">
        <v>330</v>
      </c>
      <c r="E270" s="58"/>
      <c r="F270" s="43" t="s">
        <v>8</v>
      </c>
      <c r="G270" s="62"/>
      <c r="H270" s="76"/>
      <c r="I270" s="43"/>
      <c r="J270" s="43"/>
      <c r="K270" s="43"/>
      <c r="L270" s="48"/>
      <c r="M270" s="43"/>
      <c r="N270" s="43"/>
      <c r="O270" s="43"/>
      <c r="P270" s="52"/>
      <c r="Q270" s="66"/>
    </row>
    <row r="271" spans="1:17" ht="39.6" x14ac:dyDescent="0.25">
      <c r="A271" s="42" t="s">
        <v>328</v>
      </c>
      <c r="B271" s="43">
        <v>12</v>
      </c>
      <c r="C271" s="58" t="s">
        <v>329</v>
      </c>
      <c r="D271" s="87" t="s">
        <v>330</v>
      </c>
      <c r="E271" s="58"/>
      <c r="F271" s="43" t="s">
        <v>8</v>
      </c>
      <c r="G271" s="62"/>
      <c r="H271" s="76"/>
      <c r="I271" s="43"/>
      <c r="J271" s="43"/>
      <c r="K271" s="43"/>
      <c r="L271" s="48"/>
      <c r="M271" s="43"/>
      <c r="N271" s="43"/>
      <c r="O271" s="43"/>
      <c r="P271" s="52"/>
      <c r="Q271" s="66"/>
    </row>
    <row r="272" spans="1:17" ht="39.6" x14ac:dyDescent="0.25">
      <c r="A272" s="42" t="s">
        <v>328</v>
      </c>
      <c r="B272" s="43">
        <v>13</v>
      </c>
      <c r="C272" s="58" t="s">
        <v>329</v>
      </c>
      <c r="D272" s="87" t="s">
        <v>330</v>
      </c>
      <c r="E272" s="58"/>
      <c r="F272" s="43" t="s">
        <v>8</v>
      </c>
      <c r="G272" s="62"/>
      <c r="H272" s="76"/>
      <c r="I272" s="43"/>
      <c r="J272" s="43"/>
      <c r="K272" s="43"/>
      <c r="L272" s="48"/>
      <c r="M272" s="43"/>
      <c r="N272" s="43"/>
      <c r="O272" s="43"/>
      <c r="P272" s="52"/>
      <c r="Q272" s="66"/>
    </row>
    <row r="273" spans="1:17" ht="39.6" x14ac:dyDescent="0.25">
      <c r="A273" s="42" t="s">
        <v>328</v>
      </c>
      <c r="B273" s="43">
        <v>14</v>
      </c>
      <c r="C273" s="58" t="s">
        <v>329</v>
      </c>
      <c r="D273" s="87" t="s">
        <v>330</v>
      </c>
      <c r="E273" s="58"/>
      <c r="F273" s="43" t="s">
        <v>8</v>
      </c>
      <c r="G273" s="62"/>
      <c r="H273" s="76"/>
      <c r="I273" s="43"/>
      <c r="J273" s="43"/>
      <c r="K273" s="43"/>
      <c r="L273" s="48"/>
      <c r="M273" s="43"/>
      <c r="N273" s="43"/>
      <c r="O273" s="43"/>
      <c r="P273" s="52"/>
      <c r="Q273" s="66"/>
    </row>
    <row r="274" spans="1:17" ht="39.6" x14ac:dyDescent="0.25">
      <c r="A274" s="42" t="s">
        <v>328</v>
      </c>
      <c r="B274" s="43">
        <v>15</v>
      </c>
      <c r="C274" s="58" t="s">
        <v>329</v>
      </c>
      <c r="D274" s="87" t="s">
        <v>330</v>
      </c>
      <c r="E274" s="58"/>
      <c r="F274" s="43" t="s">
        <v>8</v>
      </c>
      <c r="G274" s="62"/>
      <c r="H274" s="76"/>
      <c r="I274" s="43"/>
      <c r="J274" s="43"/>
      <c r="K274" s="43"/>
      <c r="L274" s="48"/>
      <c r="M274" s="43"/>
      <c r="N274" s="43"/>
      <c r="O274" s="43"/>
      <c r="P274" s="52"/>
      <c r="Q274" s="66"/>
    </row>
    <row r="275" spans="1:17" ht="39.6" x14ac:dyDescent="0.25">
      <c r="A275" s="42" t="s">
        <v>328</v>
      </c>
      <c r="B275" s="52">
        <v>16</v>
      </c>
      <c r="C275" s="77" t="s">
        <v>329</v>
      </c>
      <c r="D275" s="92" t="s">
        <v>330</v>
      </c>
      <c r="E275" s="77"/>
      <c r="F275" s="43" t="s">
        <v>8</v>
      </c>
      <c r="G275" s="103"/>
      <c r="H275" s="76"/>
      <c r="I275" s="52"/>
      <c r="J275" s="43"/>
      <c r="K275" s="43"/>
      <c r="L275" s="48"/>
      <c r="M275" s="43"/>
      <c r="N275" s="43"/>
      <c r="O275" s="52"/>
      <c r="P275" s="52"/>
      <c r="Q275" s="78"/>
    </row>
  </sheetData>
  <phoneticPr fontId="14" type="noConversion"/>
  <conditionalFormatting sqref="F2:I2 K2:L32 N2:Q275 H3:I13 F3:G275 K33:K34 K35:L275 H47:I58 H68:H70 H71:I136 H138:I148 H159:I259 H264:I275">
    <cfRule type="cellIs" dxfId="5" priority="1" operator="equal">
      <formula>"Pass"</formula>
    </cfRule>
    <cfRule type="cellIs" dxfId="4" priority="2" operator="equal">
      <formula>"Fail"</formula>
    </cfRule>
    <cfRule type="cellIs" dxfId="3" priority="43" operator="equal">
      <formula>"Needs Investigation"</formula>
    </cfRule>
    <cfRule type="cellIs" dxfId="2" priority="44" operator="equal">
      <formula>"Reviewed Pass"</formula>
    </cfRule>
    <cfRule type="cellIs" dxfId="1" priority="45" operator="equal">
      <formula>"Defer"</formula>
    </cfRule>
  </conditionalFormatting>
  <conditionalFormatting sqref="F2:L2 N2:Q275 H3:L13 F3:G275 K14:L14 J15:L32 K33:K34 J35:L46 H47:L58 J59:L70 H68:H70 H71:L136 J137:L137 H138:L148 J149:L158 H159:L258 H259:I259 K259:L259 J260:L263 H264:L275">
    <cfRule type="cellIs" dxfId="0" priority="46" operator="equal">
      <formula>"Not Executed"</formula>
    </cfRule>
  </conditionalFormatting>
  <dataValidations xWindow="1150" yWindow="308" count="1">
    <dataValidation allowBlank="1" showInputMessage="1" showErrorMessage="1" sqref="G1:G1048576" xr:uid="{15364C33-67EA-4D61-8701-EA0F5A414082}"/>
  </dataValidations>
  <pageMargins left="0.7" right="0.7" top="0.75" bottom="0.75" header="0.3" footer="0.3"/>
  <pageSetup orientation="portrait" horizontalDpi="0" verticalDpi="0"/>
  <tableParts count="1">
    <tablePart r:id="rId1"/>
  </tableParts>
  <extLst>
    <ext xmlns:x14="http://schemas.microsoft.com/office/spreadsheetml/2009/9/main" uri="{CCE6A557-97BC-4b89-ADB6-D9C93CAAB3DF}">
      <x14:dataValidations xmlns:xm="http://schemas.microsoft.com/office/excel/2006/main" xWindow="1150" yWindow="308" count="1">
        <x14:dataValidation type="list" allowBlank="1" showInputMessage="1" showErrorMessage="1" prompt="Click and enter a value from range Overview!C24:C26" xr:uid="{00000000-0002-0000-0100-000000000000}">
          <x14:formula1>
            <xm:f>Summary!$B$18:$B$23</xm:f>
          </x14:formula1>
          <xm:sqref>N2:N275 K2:K275 F2:F275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ee1c29c-99e4-4d0f-b6e1-41a001082787">
      <Terms xmlns="http://schemas.microsoft.com/office/infopath/2007/PartnerControls"/>
    </lcf76f155ced4ddcb4097134ff3c332f>
    <TaxCatchAll xmlns="19dbb668-428b-4cc0-a593-bbec74e2764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E844109C886D74D9E6AF8473E14CBE3" ma:contentTypeVersion="16" ma:contentTypeDescription="Create a new document." ma:contentTypeScope="" ma:versionID="c37972dcd237005c1f146490874ab55e">
  <xsd:schema xmlns:xsd="http://www.w3.org/2001/XMLSchema" xmlns:xs="http://www.w3.org/2001/XMLSchema" xmlns:p="http://schemas.microsoft.com/office/2006/metadata/properties" xmlns:ns2="dee1c29c-99e4-4d0f-b6e1-41a001082787" xmlns:ns3="19dbb668-428b-4cc0-a593-bbec74e27647" targetNamespace="http://schemas.microsoft.com/office/2006/metadata/properties" ma:root="true" ma:fieldsID="96d3774a0e26de9ecf827689ae478f94" ns2:_="" ns3:_="">
    <xsd:import namespace="dee1c29c-99e4-4d0f-b6e1-41a001082787"/>
    <xsd:import namespace="19dbb668-428b-4cc0-a593-bbec74e276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1c29c-99e4-4d0f-b6e1-41a0010827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5d298e1-810f-4711-8be9-ef4702f2a38a"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dbb668-428b-4cc0-a593-bbec74e2764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3e7046d9-bb19-4a80-9236-4ca4220cc737}" ma:internalName="TaxCatchAll" ma:showField="CatchAllData" ma:web="19dbb668-428b-4cc0-a593-bbec74e276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443C5C-DFC8-413B-9F52-29FBFE87F688}">
  <ds:schemaRefs>
    <ds:schemaRef ds:uri="http://schemas.microsoft.com/office/2006/metadata/properties"/>
    <ds:schemaRef ds:uri="http://schemas.microsoft.com/office/infopath/2007/PartnerControls"/>
    <ds:schemaRef ds:uri="http://schemas.microsoft.com/sharepoint/v3"/>
    <ds:schemaRef ds:uri="1d4dda7a-191c-4cc5-8619-9534dd2054a6"/>
    <ds:schemaRef ds:uri="ba20a018-57a9-4820-bafd-d120cbd64fbd"/>
    <ds:schemaRef ds:uri="6be2880b-0d8e-44a2-b323-ce3f967a397f"/>
    <ds:schemaRef ds:uri="dee1c29c-99e4-4d0f-b6e1-41a001082787"/>
    <ds:schemaRef ds:uri="19dbb668-428b-4cc0-a593-bbec74e27647"/>
  </ds:schemaRefs>
</ds:datastoreItem>
</file>

<file path=customXml/itemProps2.xml><?xml version="1.0" encoding="utf-8"?>
<ds:datastoreItem xmlns:ds="http://schemas.openxmlformats.org/officeDocument/2006/customXml" ds:itemID="{2B379FF5-6A8C-4FA2-B06A-4F71C3034C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e1c29c-99e4-4d0f-b6e1-41a001082787"/>
    <ds:schemaRef ds:uri="19dbb668-428b-4cc0-a593-bbec74e276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98E1C9-F968-4FDE-A5CA-2D68445691A3}">
  <ds:schemaRefs>
    <ds:schemaRef ds:uri="http://schemas.microsoft.com/sharepoint/v3/contenttype/forms"/>
  </ds:schemaRefs>
</ds:datastoreItem>
</file>

<file path=docMetadata/LabelInfo.xml><?xml version="1.0" encoding="utf-8"?>
<clbl:labelList xmlns:clbl="http://schemas.microsoft.com/office/2020/mipLabelMetadata">
  <clbl:label id="{59096ad9-8b60-446a-90b7-017dbb9421a3}" enabled="1" method="Standard" siteId="{3d234255-e20f-4205-88a5-9658a402999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Test Cases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Keshmiri, Armon</dc:creator>
  <cp:keywords/>
  <dc:description/>
  <cp:lastModifiedBy>Keshmiri, Armon</cp:lastModifiedBy>
  <cp:revision/>
  <dcterms:created xsi:type="dcterms:W3CDTF">2024-09-27T18:52:47Z</dcterms:created>
  <dcterms:modified xsi:type="dcterms:W3CDTF">2025-08-03T15:57:01Z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0x010100CE844109C886D74D9E6AF8473E14CBE3</vt:lpwstr>
  </property>
  <property fmtid="{D5CDD505-2E9C-101B-9397-08002B2CF9AE}" pid="3" name="MediaServiceImageTags">
    <vt:lpwstr/>
  </property>
  <property fmtid="{D5CDD505-2E9C-101B-9397-08002B2CF9AE}" pid="4" name="_dlc_DocIdItemGuid">
    <vt:lpwstr>4b91b828-ab41-4275-a102-a4f2a6372ec3</vt:lpwstr>
  </property>
</Properties>
</file>